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045" windowWidth="23085" windowHeight="1215" firstSheet="28" activeTab="31"/>
  </bookViews>
  <sheets>
    <sheet name="Input Data" sheetId="34" r:id="rId1"/>
    <sheet name="Exercise 6 - Paid LDFs" sheetId="1" r:id="rId2"/>
    <sheet name="Exercise 6 Inc LDFs" sheetId="2" r:id="rId3"/>
    <sheet name="Exercise 6 DCC Paid LDFs" sheetId="3" r:id="rId4"/>
    <sheet name="Exercise 6 -  Report Claim LDFs" sheetId="4" r:id="rId5"/>
    <sheet name="Excercise 6 - Closed Claim LDFs" sheetId="5" r:id="rId6"/>
    <sheet name="Exercise 7 &amp; 8 PD Dev Meth  " sheetId="6" r:id="rId7"/>
    <sheet name="Exercise 7 &amp; 8 PD Dev Meth  (2)" sheetId="38" r:id="rId8"/>
    <sheet name="Exercise 7 &amp; 8 Inc Dev Meth" sheetId="29" r:id="rId9"/>
    <sheet name="Paid DCC Dev" sheetId="7" r:id="rId10"/>
    <sheet name="Rpt Claim Dev" sheetId="35" r:id="rId11"/>
    <sheet name="Closed Claim Dev" sheetId="8" r:id="rId12"/>
    <sheet name="Exercise 9 - Pd LDFs for ELR " sheetId="36" r:id="rId13"/>
    <sheet name="Exercise 10 - Expected LR M (2)" sheetId="39" r:id="rId14"/>
    <sheet name="Exercise 10 - Expected LR Meth" sheetId="9" r:id="rId15"/>
    <sheet name="Exercise 11 - Paid BF Meth" sheetId="10" r:id="rId16"/>
    <sheet name="Exercise 11 - Paid BF Meth (2)" sheetId="41" r:id="rId17"/>
    <sheet name="Exercise 11 - Inc BF Meth" sheetId="11" r:id="rId18"/>
    <sheet name="Exercise 12 - Pd to Pd Factors" sheetId="12" r:id="rId19"/>
    <sheet name="Exercise 12 - Pd to Pd Fact (2)" sheetId="43" r:id="rId20"/>
    <sheet name="Exercise 12 - DCC Pd Pd LDFs" sheetId="13" r:id="rId21"/>
    <sheet name="Exercise 13 - Pd to Pd Dev" sheetId="14" r:id="rId22"/>
    <sheet name="Exercise 13 - Pd to Pd Dev (2)" sheetId="44" r:id="rId23"/>
    <sheet name="Exercise 14 - Diagnotics 1" sheetId="15" r:id="rId24"/>
    <sheet name="Exercise 14 - Diagnotics 1 (2)" sheetId="45" r:id="rId25"/>
    <sheet name="Exercise 14 - Diagnotics 2" sheetId="30" r:id="rId26"/>
    <sheet name="Exercise 14 - Diagnotics 3" sheetId="31" r:id="rId27"/>
    <sheet name="Exercise 15 - Ult Loss Select" sheetId="16" r:id="rId28"/>
    <sheet name="Exercise 15 - Ult DCC Select" sheetId="32" r:id="rId29"/>
    <sheet name="Exercise 16 - Loss Summary" sheetId="17" r:id="rId30"/>
    <sheet name="Exercise 16 - Metrics" sheetId="18" r:id="rId31"/>
    <sheet name="Exercise 16 -Loss &amp; DCC Summary" sheetId="37" r:id="rId32"/>
    <sheet name="Sheet3" sheetId="40" r:id="rId33"/>
  </sheets>
  <externalReferences>
    <externalReference r:id="rId34"/>
  </externalReferences>
  <definedNames>
    <definedName name="DataType">'Input Data'!$B$10</definedName>
    <definedName name="EndYear">'Input Data'!$B$6</definedName>
    <definedName name="EvalDate">'Input Data'!$B$4</definedName>
    <definedName name="FirstMonth">'Input Data'!$B$2</definedName>
    <definedName name="LOB">'Input Data'!$B$8</definedName>
  </definedNames>
  <calcPr calcId="125725"/>
</workbook>
</file>

<file path=xl/calcChain.xml><?xml version="1.0" encoding="utf-8"?>
<calcChain xmlns="http://schemas.openxmlformats.org/spreadsheetml/2006/main">
  <c r="B123" i="45"/>
  <c r="C122"/>
  <c r="B122"/>
  <c r="D121"/>
  <c r="C121"/>
  <c r="B121"/>
  <c r="E120"/>
  <c r="D120"/>
  <c r="C120"/>
  <c r="B120"/>
  <c r="F119"/>
  <c r="E119"/>
  <c r="D119"/>
  <c r="C119"/>
  <c r="B119"/>
  <c r="G118"/>
  <c r="F118"/>
  <c r="E118"/>
  <c r="D118"/>
  <c r="C118"/>
  <c r="B118"/>
  <c r="H117"/>
  <c r="G117"/>
  <c r="F117"/>
  <c r="E117"/>
  <c r="D117"/>
  <c r="C117"/>
  <c r="B117"/>
  <c r="I116"/>
  <c r="H116"/>
  <c r="G116"/>
  <c r="F116"/>
  <c r="E116"/>
  <c r="D116"/>
  <c r="C116"/>
  <c r="B116"/>
  <c r="J115"/>
  <c r="I115"/>
  <c r="H115"/>
  <c r="G115"/>
  <c r="F115"/>
  <c r="E115"/>
  <c r="D115"/>
  <c r="C115"/>
  <c r="B115"/>
  <c r="K114"/>
  <c r="J114"/>
  <c r="I114"/>
  <c r="H114"/>
  <c r="G114"/>
  <c r="F114"/>
  <c r="E114"/>
  <c r="D114"/>
  <c r="C114"/>
  <c r="B114"/>
  <c r="L113"/>
  <c r="K113"/>
  <c r="J113"/>
  <c r="I113"/>
  <c r="H113"/>
  <c r="G113"/>
  <c r="F113"/>
  <c r="E113"/>
  <c r="D113"/>
  <c r="C113"/>
  <c r="B113"/>
  <c r="M112"/>
  <c r="L112"/>
  <c r="K112"/>
  <c r="J112"/>
  <c r="I112"/>
  <c r="H112"/>
  <c r="G112"/>
  <c r="F112"/>
  <c r="E112"/>
  <c r="D112"/>
  <c r="C112"/>
  <c r="B112"/>
  <c r="N111"/>
  <c r="M111"/>
  <c r="L111"/>
  <c r="K111"/>
  <c r="J111"/>
  <c r="I111"/>
  <c r="H111"/>
  <c r="G111"/>
  <c r="F111"/>
  <c r="E111"/>
  <c r="D111"/>
  <c r="C111"/>
  <c r="B111"/>
  <c r="O110"/>
  <c r="N110"/>
  <c r="M110"/>
  <c r="L110"/>
  <c r="K110"/>
  <c r="J110"/>
  <c r="I110"/>
  <c r="H110"/>
  <c r="G110"/>
  <c r="F110"/>
  <c r="E110"/>
  <c r="D110"/>
  <c r="C110"/>
  <c r="B110"/>
  <c r="P109"/>
  <c r="O109"/>
  <c r="N109"/>
  <c r="M109"/>
  <c r="L109"/>
  <c r="K109"/>
  <c r="J109"/>
  <c r="I109"/>
  <c r="H109"/>
  <c r="G109"/>
  <c r="F109"/>
  <c r="E109"/>
  <c r="D109"/>
  <c r="C109"/>
  <c r="B109"/>
  <c r="A24"/>
  <c r="A23" s="1"/>
  <c r="A22" s="1"/>
  <c r="A21" s="1"/>
  <c r="A20" s="1"/>
  <c r="A19" s="1"/>
  <c r="A18" s="1"/>
  <c r="A17" s="1"/>
  <c r="A16" s="1"/>
  <c r="A15" s="1"/>
  <c r="A14" s="1"/>
  <c r="A13" s="1"/>
  <c r="A12" s="1"/>
  <c r="A11" s="1"/>
  <c r="A10" s="1"/>
  <c r="C8"/>
  <c r="D8" s="1"/>
  <c r="E8" s="1"/>
  <c r="F8" s="1"/>
  <c r="G8" s="1"/>
  <c r="H8" s="1"/>
  <c r="I8" s="1"/>
  <c r="J8" s="1"/>
  <c r="K8" s="1"/>
  <c r="L8" s="1"/>
  <c r="M8" s="1"/>
  <c r="N8" s="1"/>
  <c r="O8" s="1"/>
  <c r="P8" s="1"/>
  <c r="A7"/>
  <c r="A3"/>
  <c r="A2"/>
  <c r="B123" i="44"/>
  <c r="B122" s="1"/>
  <c r="B121" s="1"/>
  <c r="B120" s="1"/>
  <c r="B119" s="1"/>
  <c r="B118" s="1"/>
  <c r="B117" s="1"/>
  <c r="B116" s="1"/>
  <c r="B115" s="1"/>
  <c r="B114" s="1"/>
  <c r="B113" s="1"/>
  <c r="B112" s="1"/>
  <c r="B111" s="1"/>
  <c r="B110" s="1"/>
  <c r="B30"/>
  <c r="B29" s="1"/>
  <c r="B28" s="1"/>
  <c r="B27" s="1"/>
  <c r="B26" s="1"/>
  <c r="B25" s="1"/>
  <c r="B24" s="1"/>
  <c r="B23" s="1"/>
  <c r="B22" s="1"/>
  <c r="B21" s="1"/>
  <c r="B20" s="1"/>
  <c r="B19" s="1"/>
  <c r="B18" s="1"/>
  <c r="B17" s="1"/>
  <c r="A3"/>
  <c r="A2"/>
  <c r="K152" i="43"/>
  <c r="J152"/>
  <c r="I152"/>
  <c r="H152"/>
  <c r="M151"/>
  <c r="L151"/>
  <c r="K151"/>
  <c r="J151"/>
  <c r="I151"/>
  <c r="H151"/>
  <c r="O149"/>
  <c r="N149"/>
  <c r="M149"/>
  <c r="L149"/>
  <c r="K149"/>
  <c r="J149"/>
  <c r="I149"/>
  <c r="H149"/>
  <c r="L147"/>
  <c r="K147"/>
  <c r="J147"/>
  <c r="I147"/>
  <c r="H147"/>
  <c r="M146"/>
  <c r="L146"/>
  <c r="K146"/>
  <c r="J146"/>
  <c r="I146"/>
  <c r="H146"/>
  <c r="A127"/>
  <c r="B124"/>
  <c r="B24" s="1"/>
  <c r="A124"/>
  <c r="A123" s="1"/>
  <c r="C123"/>
  <c r="C23" s="1"/>
  <c r="B123"/>
  <c r="B23" s="1"/>
  <c r="D122"/>
  <c r="D22" s="1"/>
  <c r="C122"/>
  <c r="B122"/>
  <c r="B22" s="1"/>
  <c r="E121"/>
  <c r="D121"/>
  <c r="D21" s="1"/>
  <c r="C121"/>
  <c r="C21" s="1"/>
  <c r="B41" s="1"/>
  <c r="B121"/>
  <c r="F120"/>
  <c r="E120"/>
  <c r="E20" s="1"/>
  <c r="D120"/>
  <c r="C120"/>
  <c r="B120"/>
  <c r="B20" s="1"/>
  <c r="G119"/>
  <c r="G19" s="1"/>
  <c r="F119"/>
  <c r="F19" s="1"/>
  <c r="E119"/>
  <c r="D119"/>
  <c r="C119"/>
  <c r="C19" s="1"/>
  <c r="B119"/>
  <c r="B19" s="1"/>
  <c r="H118"/>
  <c r="G118"/>
  <c r="F118"/>
  <c r="F18" s="1"/>
  <c r="E118"/>
  <c r="E18" s="1"/>
  <c r="D118"/>
  <c r="C118"/>
  <c r="B118"/>
  <c r="B18" s="1"/>
  <c r="I117"/>
  <c r="H117"/>
  <c r="G117"/>
  <c r="G17" s="1"/>
  <c r="F117"/>
  <c r="F17" s="1"/>
  <c r="E117"/>
  <c r="E17" s="1"/>
  <c r="D37" s="1"/>
  <c r="D117"/>
  <c r="C117"/>
  <c r="B117"/>
  <c r="J116"/>
  <c r="I116"/>
  <c r="H116"/>
  <c r="H16" s="1"/>
  <c r="G116"/>
  <c r="G16" s="1"/>
  <c r="F116"/>
  <c r="F16" s="1"/>
  <c r="E116"/>
  <c r="E16" s="1"/>
  <c r="D116"/>
  <c r="C116"/>
  <c r="C16" s="1"/>
  <c r="B116"/>
  <c r="B16" s="1"/>
  <c r="K115"/>
  <c r="J115"/>
  <c r="I115"/>
  <c r="H115"/>
  <c r="H15" s="1"/>
  <c r="G115"/>
  <c r="F115"/>
  <c r="E115"/>
  <c r="E15" s="1"/>
  <c r="D115"/>
  <c r="C115"/>
  <c r="B115"/>
  <c r="B15" s="1"/>
  <c r="L114"/>
  <c r="L14" s="1"/>
  <c r="K114"/>
  <c r="K14" s="1"/>
  <c r="J114"/>
  <c r="I114"/>
  <c r="H114"/>
  <c r="H14" s="1"/>
  <c r="G114"/>
  <c r="F114"/>
  <c r="E114"/>
  <c r="D114"/>
  <c r="D14" s="1"/>
  <c r="C114"/>
  <c r="C14" s="1"/>
  <c r="B114"/>
  <c r="B14" s="1"/>
  <c r="M113"/>
  <c r="L113"/>
  <c r="L13" s="1"/>
  <c r="K113"/>
  <c r="J113"/>
  <c r="I113"/>
  <c r="H113"/>
  <c r="H13" s="1"/>
  <c r="G113"/>
  <c r="G13" s="1"/>
  <c r="F113"/>
  <c r="E113"/>
  <c r="D113"/>
  <c r="D13" s="1"/>
  <c r="C113"/>
  <c r="B113"/>
  <c r="B13" s="1"/>
  <c r="N112"/>
  <c r="M112"/>
  <c r="M12" s="1"/>
  <c r="L112"/>
  <c r="L12" s="1"/>
  <c r="K112"/>
  <c r="J112"/>
  <c r="I112"/>
  <c r="I12" s="1"/>
  <c r="H112"/>
  <c r="G112"/>
  <c r="F112"/>
  <c r="E112"/>
  <c r="E12" s="1"/>
  <c r="D112"/>
  <c r="D12" s="1"/>
  <c r="C112"/>
  <c r="B112"/>
  <c r="B12" s="1"/>
  <c r="O111"/>
  <c r="N111"/>
  <c r="M111"/>
  <c r="L111"/>
  <c r="K111"/>
  <c r="J111"/>
  <c r="J11" s="1"/>
  <c r="I111"/>
  <c r="H111"/>
  <c r="G111"/>
  <c r="G11" s="1"/>
  <c r="F111"/>
  <c r="E111"/>
  <c r="D111"/>
  <c r="C111"/>
  <c r="B111"/>
  <c r="B11" s="1"/>
  <c r="P110"/>
  <c r="P10" s="1"/>
  <c r="O110"/>
  <c r="N110"/>
  <c r="N10" s="1"/>
  <c r="M110"/>
  <c r="L110"/>
  <c r="K110"/>
  <c r="J110"/>
  <c r="J10" s="1"/>
  <c r="I110"/>
  <c r="I10" s="1"/>
  <c r="H110"/>
  <c r="G110"/>
  <c r="G10" s="1"/>
  <c r="F110"/>
  <c r="F10" s="1"/>
  <c r="E110"/>
  <c r="D110"/>
  <c r="C110"/>
  <c r="B110"/>
  <c r="B10" s="1"/>
  <c r="E108"/>
  <c r="F108" s="1"/>
  <c r="G108" s="1"/>
  <c r="H108" s="1"/>
  <c r="I108" s="1"/>
  <c r="J108" s="1"/>
  <c r="K108" s="1"/>
  <c r="L108" s="1"/>
  <c r="M108" s="1"/>
  <c r="N108" s="1"/>
  <c r="O108" s="1"/>
  <c r="P108" s="1"/>
  <c r="D108"/>
  <c r="C108"/>
  <c r="A27"/>
  <c r="A24"/>
  <c r="A43" s="1"/>
  <c r="B21"/>
  <c r="E19"/>
  <c r="D18"/>
  <c r="D17"/>
  <c r="B17"/>
  <c r="I15"/>
  <c r="G15"/>
  <c r="J14"/>
  <c r="F13"/>
  <c r="K12"/>
  <c r="C12"/>
  <c r="O11"/>
  <c r="I11"/>
  <c r="H10"/>
  <c r="D8"/>
  <c r="E8" s="1"/>
  <c r="F8" s="1"/>
  <c r="G8" s="1"/>
  <c r="H8" s="1"/>
  <c r="I8" s="1"/>
  <c r="J8" s="1"/>
  <c r="K8" s="1"/>
  <c r="L8" s="1"/>
  <c r="M8" s="1"/>
  <c r="N8" s="1"/>
  <c r="O8" s="1"/>
  <c r="P8" s="1"/>
  <c r="C8"/>
  <c r="A3"/>
  <c r="A2"/>
  <c r="D30" i="41"/>
  <c r="AJ53" i="36"/>
  <c r="AI53"/>
  <c r="AH53"/>
  <c r="AG53"/>
  <c r="AF53"/>
  <c r="AE53"/>
  <c r="AD53"/>
  <c r="AC53"/>
  <c r="AB53"/>
  <c r="AA53"/>
  <c r="Z53"/>
  <c r="Y53"/>
  <c r="X53"/>
  <c r="W53"/>
  <c r="AG52"/>
  <c r="AF52"/>
  <c r="AE52"/>
  <c r="AD52"/>
  <c r="AC52"/>
  <c r="AB52"/>
  <c r="AA52"/>
  <c r="Z52"/>
  <c r="Y52"/>
  <c r="X52"/>
  <c r="W52"/>
  <c r="AI51"/>
  <c r="AH51"/>
  <c r="AG51"/>
  <c r="AF51"/>
  <c r="AE51"/>
  <c r="AD51"/>
  <c r="AC51"/>
  <c r="AB51"/>
  <c r="AA51"/>
  <c r="Z51"/>
  <c r="Y51"/>
  <c r="X51"/>
  <c r="W51"/>
  <c r="X46"/>
  <c r="W42"/>
  <c r="X41"/>
  <c r="W41"/>
  <c r="Y40"/>
  <c r="Y48" s="1"/>
  <c r="X40"/>
  <c r="W40"/>
  <c r="W46" s="1"/>
  <c r="Z39"/>
  <c r="Y39"/>
  <c r="X39"/>
  <c r="W39"/>
  <c r="AA38"/>
  <c r="Z38"/>
  <c r="Y38"/>
  <c r="Y46" s="1"/>
  <c r="X38"/>
  <c r="X47" s="1"/>
  <c r="W38"/>
  <c r="W47" s="1"/>
  <c r="AB37"/>
  <c r="AA37"/>
  <c r="Z37"/>
  <c r="Z46" s="1"/>
  <c r="Y37"/>
  <c r="X37"/>
  <c r="X48" s="1"/>
  <c r="W37"/>
  <c r="AC36"/>
  <c r="AB36"/>
  <c r="AA36"/>
  <c r="AA46" s="1"/>
  <c r="Z36"/>
  <c r="Y36"/>
  <c r="Y47" s="1"/>
  <c r="X36"/>
  <c r="W36"/>
  <c r="AD35"/>
  <c r="AC35"/>
  <c r="AB35"/>
  <c r="AB46" s="1"/>
  <c r="AA35"/>
  <c r="Z35"/>
  <c r="Z47" s="1"/>
  <c r="Y35"/>
  <c r="X35"/>
  <c r="W35"/>
  <c r="AE34"/>
  <c r="AD34"/>
  <c r="AC34"/>
  <c r="AC46" s="1"/>
  <c r="AB34"/>
  <c r="AA34"/>
  <c r="AA48" s="1"/>
  <c r="Z34"/>
  <c r="Y34"/>
  <c r="X34"/>
  <c r="W34"/>
  <c r="AF33"/>
  <c r="AE33"/>
  <c r="AD33"/>
  <c r="AD46" s="1"/>
  <c r="AC33"/>
  <c r="AB33"/>
  <c r="AB48" s="1"/>
  <c r="AA33"/>
  <c r="Z33"/>
  <c r="Y33"/>
  <c r="X33"/>
  <c r="W33"/>
  <c r="AG32"/>
  <c r="AF32"/>
  <c r="AE32"/>
  <c r="AE46" s="1"/>
  <c r="AD32"/>
  <c r="AC32"/>
  <c r="AC48" s="1"/>
  <c r="AB32"/>
  <c r="AA32"/>
  <c r="Z32"/>
  <c r="Y32"/>
  <c r="X32"/>
  <c r="W32"/>
  <c r="AH31"/>
  <c r="AG31"/>
  <c r="AF31"/>
  <c r="AF46" s="1"/>
  <c r="AE31"/>
  <c r="AD31"/>
  <c r="AD47" s="1"/>
  <c r="AC31"/>
  <c r="AB31"/>
  <c r="AA31"/>
  <c r="Z31"/>
  <c r="Y31"/>
  <c r="X31"/>
  <c r="W31"/>
  <c r="AI30"/>
  <c r="AH30"/>
  <c r="AG30"/>
  <c r="AG46" s="1"/>
  <c r="AF30"/>
  <c r="AF47" s="1"/>
  <c r="AE30"/>
  <c r="AE47" s="1"/>
  <c r="AD30"/>
  <c r="AC30"/>
  <c r="AB30"/>
  <c r="AA30"/>
  <c r="Z30"/>
  <c r="Y30"/>
  <c r="X30"/>
  <c r="W30"/>
  <c r="AJ29"/>
  <c r="AJ49" s="1"/>
  <c r="AI29"/>
  <c r="AI49" s="1"/>
  <c r="AH29"/>
  <c r="AH46" s="1"/>
  <c r="AG29"/>
  <c r="AG49" s="1"/>
  <c r="AF29"/>
  <c r="AF49" s="1"/>
  <c r="AE29"/>
  <c r="AE49" s="1"/>
  <c r="AD29"/>
  <c r="AD49" s="1"/>
  <c r="AC29"/>
  <c r="AC49" s="1"/>
  <c r="AB29"/>
  <c r="AB49" s="1"/>
  <c r="AA29"/>
  <c r="AA49" s="1"/>
  <c r="Z29"/>
  <c r="Z49" s="1"/>
  <c r="Y29"/>
  <c r="Y49" s="1"/>
  <c r="X29"/>
  <c r="X49" s="1"/>
  <c r="W29"/>
  <c r="W49" s="1"/>
  <c r="V26"/>
  <c r="V24"/>
  <c r="V43" s="1"/>
  <c r="W8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V3"/>
  <c r="V2"/>
  <c r="O53" i="1"/>
  <c r="N53"/>
  <c r="P56" i="36"/>
  <c r="G33" i="6"/>
  <c r="F33"/>
  <c r="E33"/>
  <c r="D33"/>
  <c r="Q33"/>
  <c r="P33"/>
  <c r="O33"/>
  <c r="N33"/>
  <c r="F33" i="43" l="1"/>
  <c r="B131"/>
  <c r="J131"/>
  <c r="K11"/>
  <c r="J31" s="1"/>
  <c r="I30"/>
  <c r="D32"/>
  <c r="L32"/>
  <c r="C34"/>
  <c r="K34"/>
  <c r="H35"/>
  <c r="F36"/>
  <c r="E38"/>
  <c r="F39"/>
  <c r="G30"/>
  <c r="N130"/>
  <c r="G131"/>
  <c r="B32"/>
  <c r="I132"/>
  <c r="D133"/>
  <c r="L133"/>
  <c r="H134"/>
  <c r="E135"/>
  <c r="C136"/>
  <c r="B137"/>
  <c r="B138"/>
  <c r="C139"/>
  <c r="E140"/>
  <c r="B43"/>
  <c r="C11"/>
  <c r="B31" s="1"/>
  <c r="E39"/>
  <c r="B130"/>
  <c r="J130"/>
  <c r="C131"/>
  <c r="K131"/>
  <c r="E132"/>
  <c r="M132"/>
  <c r="H133"/>
  <c r="D134"/>
  <c r="I135"/>
  <c r="F138"/>
  <c r="D141"/>
  <c r="C32"/>
  <c r="I31"/>
  <c r="K10"/>
  <c r="H11"/>
  <c r="H31" s="1"/>
  <c r="N12"/>
  <c r="M32" s="1"/>
  <c r="M13"/>
  <c r="L33" s="1"/>
  <c r="J15"/>
  <c r="I35" s="1"/>
  <c r="C17"/>
  <c r="C37" s="1"/>
  <c r="B143"/>
  <c r="J30"/>
  <c r="D11"/>
  <c r="C31" s="1"/>
  <c r="I13"/>
  <c r="I14"/>
  <c r="I34" s="1"/>
  <c r="C18"/>
  <c r="C38" s="1"/>
  <c r="E21"/>
  <c r="D135"/>
  <c r="K32"/>
  <c r="H33"/>
  <c r="G35"/>
  <c r="G36"/>
  <c r="D41"/>
  <c r="D130"/>
  <c r="L130"/>
  <c r="E131"/>
  <c r="M131"/>
  <c r="G132"/>
  <c r="B133"/>
  <c r="J133"/>
  <c r="F134"/>
  <c r="C135"/>
  <c r="B36"/>
  <c r="I136"/>
  <c r="H137"/>
  <c r="B39"/>
  <c r="C140"/>
  <c r="B142"/>
  <c r="L11"/>
  <c r="J12"/>
  <c r="J32" s="1"/>
  <c r="E14"/>
  <c r="F15"/>
  <c r="F35" s="1"/>
  <c r="D19"/>
  <c r="D39" s="1"/>
  <c r="C130"/>
  <c r="K130"/>
  <c r="D131"/>
  <c r="L131"/>
  <c r="F132"/>
  <c r="I133"/>
  <c r="E134"/>
  <c r="B135"/>
  <c r="J135"/>
  <c r="H136"/>
  <c r="G137"/>
  <c r="G138"/>
  <c r="B140"/>
  <c r="D34"/>
  <c r="E36"/>
  <c r="F37"/>
  <c r="F151"/>
  <c r="C10"/>
  <c r="B30" s="1"/>
  <c r="O10"/>
  <c r="O30" s="1"/>
  <c r="F12"/>
  <c r="E32" s="1"/>
  <c r="E13"/>
  <c r="E33" s="1"/>
  <c r="D16"/>
  <c r="D36" s="1"/>
  <c r="G18"/>
  <c r="F38" s="1"/>
  <c r="F20"/>
  <c r="D132"/>
  <c r="L132"/>
  <c r="H135"/>
  <c r="F136"/>
  <c r="F139"/>
  <c r="E35"/>
  <c r="E40"/>
  <c r="E10"/>
  <c r="E30" s="1"/>
  <c r="M10"/>
  <c r="M30" s="1"/>
  <c r="F11"/>
  <c r="F31" s="1"/>
  <c r="N11"/>
  <c r="N31" s="1"/>
  <c r="H12"/>
  <c r="H32" s="1"/>
  <c r="C13"/>
  <c r="B33" s="1"/>
  <c r="K13"/>
  <c r="K33" s="1"/>
  <c r="G14"/>
  <c r="G34" s="1"/>
  <c r="D15"/>
  <c r="D35" s="1"/>
  <c r="J16"/>
  <c r="I17"/>
  <c r="D20"/>
  <c r="D40" s="1"/>
  <c r="C22"/>
  <c r="C42" s="1"/>
  <c r="G151"/>
  <c r="G31"/>
  <c r="B37"/>
  <c r="D10"/>
  <c r="L10"/>
  <c r="E11"/>
  <c r="M11"/>
  <c r="G12"/>
  <c r="F32" s="1"/>
  <c r="J13"/>
  <c r="F14"/>
  <c r="F34" s="1"/>
  <c r="C15"/>
  <c r="C35" s="1"/>
  <c r="K15"/>
  <c r="I16"/>
  <c r="H17"/>
  <c r="G37" s="1"/>
  <c r="H18"/>
  <c r="G38" s="1"/>
  <c r="C20"/>
  <c r="G133"/>
  <c r="E137"/>
  <c r="E151"/>
  <c r="C141"/>
  <c r="D31"/>
  <c r="I33"/>
  <c r="J35"/>
  <c r="H130"/>
  <c r="I131"/>
  <c r="C132"/>
  <c r="K132"/>
  <c r="F133"/>
  <c r="B134"/>
  <c r="J134"/>
  <c r="G135"/>
  <c r="E136"/>
  <c r="D137"/>
  <c r="D138"/>
  <c r="E139"/>
  <c r="B141"/>
  <c r="C39"/>
  <c r="G130"/>
  <c r="O130"/>
  <c r="H131"/>
  <c r="B132"/>
  <c r="J132"/>
  <c r="E133"/>
  <c r="I134"/>
  <c r="F135"/>
  <c r="D136"/>
  <c r="C137"/>
  <c r="C138"/>
  <c r="D139"/>
  <c r="V23" i="36"/>
  <c r="V22" s="1"/>
  <c r="F153" i="43"/>
  <c r="F30"/>
  <c r="D33"/>
  <c r="H30"/>
  <c r="B34"/>
  <c r="J34"/>
  <c r="D38"/>
  <c r="E153"/>
  <c r="F131"/>
  <c r="N131"/>
  <c r="C133"/>
  <c r="K133"/>
  <c r="G152"/>
  <c r="B136"/>
  <c r="B139"/>
  <c r="A122"/>
  <c r="A142"/>
  <c r="F130"/>
  <c r="A143"/>
  <c r="G153"/>
  <c r="E130"/>
  <c r="M130"/>
  <c r="H132"/>
  <c r="G134"/>
  <c r="D140"/>
  <c r="C142"/>
  <c r="A23"/>
  <c r="F152"/>
  <c r="G33"/>
  <c r="E37"/>
  <c r="C41"/>
  <c r="G136"/>
  <c r="F137"/>
  <c r="F146" s="1"/>
  <c r="E152"/>
  <c r="I130"/>
  <c r="C134"/>
  <c r="K134"/>
  <c r="E138"/>
  <c r="E146" s="1"/>
  <c r="V21" i="36"/>
  <c r="V41"/>
  <c r="AC47"/>
  <c r="Z48"/>
  <c r="AB47"/>
  <c r="AG48"/>
  <c r="AA47"/>
  <c r="AF48"/>
  <c r="W48"/>
  <c r="AE48"/>
  <c r="AG47"/>
  <c r="AD48"/>
  <c r="V42"/>
  <c r="AH49"/>
  <c r="F148" i="43" l="1"/>
  <c r="H34"/>
  <c r="M31"/>
  <c r="K31"/>
  <c r="E31"/>
  <c r="C36"/>
  <c r="C40"/>
  <c r="B38"/>
  <c r="C30"/>
  <c r="I36"/>
  <c r="L30"/>
  <c r="G146"/>
  <c r="B42"/>
  <c r="D30"/>
  <c r="E34"/>
  <c r="I32"/>
  <c r="N30"/>
  <c r="B35"/>
  <c r="E149"/>
  <c r="B40"/>
  <c r="J33"/>
  <c r="F147"/>
  <c r="L31"/>
  <c r="C33"/>
  <c r="G32"/>
  <c r="H36"/>
  <c r="K30"/>
  <c r="H37"/>
  <c r="E147"/>
  <c r="G147"/>
  <c r="G148"/>
  <c r="F149"/>
  <c r="E148"/>
  <c r="A22"/>
  <c r="A42"/>
  <c r="A141"/>
  <c r="A121"/>
  <c r="G149"/>
  <c r="V40" i="36"/>
  <c r="V20"/>
  <c r="A140" i="43" l="1"/>
  <c r="A120"/>
  <c r="A41"/>
  <c r="A21"/>
  <c r="V39" i="36"/>
  <c r="V19"/>
  <c r="A139" i="43" l="1"/>
  <c r="A119"/>
  <c r="A40"/>
  <c r="A20"/>
  <c r="V38" i="36"/>
  <c r="V18"/>
  <c r="A138" i="43" l="1"/>
  <c r="A118"/>
  <c r="A39"/>
  <c r="A19"/>
  <c r="V37" i="36"/>
  <c r="V17"/>
  <c r="A117" i="43" l="1"/>
  <c r="A137"/>
  <c r="A38"/>
  <c r="A18"/>
  <c r="V36" i="36"/>
  <c r="V16"/>
  <c r="A116" i="43" l="1"/>
  <c r="A136"/>
  <c r="A17"/>
  <c r="A37"/>
  <c r="V35" i="36"/>
  <c r="V15"/>
  <c r="A16" i="43" l="1"/>
  <c r="A36"/>
  <c r="A115"/>
  <c r="A135"/>
  <c r="V14" i="36"/>
  <c r="V34"/>
  <c r="A134" i="43" l="1"/>
  <c r="A114"/>
  <c r="A15"/>
  <c r="A35"/>
  <c r="V13" i="36"/>
  <c r="V33"/>
  <c r="A133" i="43" l="1"/>
  <c r="A113"/>
  <c r="A34"/>
  <c r="A14"/>
  <c r="V32" i="36"/>
  <c r="V12"/>
  <c r="A112" i="43" l="1"/>
  <c r="A132"/>
  <c r="A13"/>
  <c r="A33"/>
  <c r="V31" i="36"/>
  <c r="V11"/>
  <c r="A131" i="43" l="1"/>
  <c r="A111"/>
  <c r="A32"/>
  <c r="A12"/>
  <c r="V30" i="36"/>
  <c r="V10"/>
  <c r="V29" s="1"/>
  <c r="A130" i="43" l="1"/>
  <c r="A110"/>
  <c r="A31"/>
  <c r="A11"/>
  <c r="A30" l="1"/>
  <c r="A10"/>
  <c r="K31" i="6" l="1"/>
  <c r="K30" s="1"/>
  <c r="K29" s="1"/>
  <c r="K28" s="1"/>
  <c r="K27" s="1"/>
  <c r="K26" s="1"/>
  <c r="K25" s="1"/>
  <c r="K24" s="1"/>
  <c r="K23" s="1"/>
  <c r="K22" s="1"/>
  <c r="K21" s="1"/>
  <c r="K20" s="1"/>
  <c r="K19" s="1"/>
  <c r="K18" s="1"/>
  <c r="K17" s="1"/>
  <c r="K3"/>
  <c r="K2"/>
  <c r="C17" l="1"/>
  <c r="M17" s="1"/>
  <c r="C18"/>
  <c r="M18" s="1"/>
  <c r="C19"/>
  <c r="M19" s="1"/>
  <c r="C20"/>
  <c r="M20" s="1"/>
  <c r="C21"/>
  <c r="M21" s="1"/>
  <c r="C22"/>
  <c r="M22" s="1"/>
  <c r="C23"/>
  <c r="M23" s="1"/>
  <c r="C24"/>
  <c r="M24" s="1"/>
  <c r="C25"/>
  <c r="M25" s="1"/>
  <c r="C26"/>
  <c r="M26" s="1"/>
  <c r="C27"/>
  <c r="M27" s="1"/>
  <c r="C28"/>
  <c r="M28" s="1"/>
  <c r="C29"/>
  <c r="M29" s="1"/>
  <c r="C30"/>
  <c r="M30" s="1"/>
  <c r="C31"/>
  <c r="M31" s="1"/>
  <c r="B29" i="29"/>
  <c r="B28" s="1"/>
  <c r="B27" s="1"/>
  <c r="B26" s="1"/>
  <c r="B25" s="1"/>
  <c r="B24" s="1"/>
  <c r="B23" s="1"/>
  <c r="B22" s="1"/>
  <c r="B21" s="1"/>
  <c r="B20" s="1"/>
  <c r="B19" s="1"/>
  <c r="B18" s="1"/>
  <c r="B17" s="1"/>
  <c r="B30"/>
  <c r="C26" i="30"/>
  <c r="D25"/>
  <c r="C25"/>
  <c r="E24"/>
  <c r="D24"/>
  <c r="C24"/>
  <c r="F23"/>
  <c r="E23"/>
  <c r="D23"/>
  <c r="C23"/>
  <c r="G22"/>
  <c r="F22"/>
  <c r="E22"/>
  <c r="D22"/>
  <c r="C22"/>
  <c r="H21"/>
  <c r="G21"/>
  <c r="F21"/>
  <c r="E21"/>
  <c r="D21"/>
  <c r="C21"/>
  <c r="I20"/>
  <c r="H20"/>
  <c r="G20"/>
  <c r="F20"/>
  <c r="E20"/>
  <c r="D20"/>
  <c r="C20"/>
  <c r="J19"/>
  <c r="I19"/>
  <c r="H19"/>
  <c r="G19"/>
  <c r="F19"/>
  <c r="E19"/>
  <c r="D19"/>
  <c r="C19"/>
  <c r="K18"/>
  <c r="J18"/>
  <c r="I18"/>
  <c r="H18"/>
  <c r="G18"/>
  <c r="F18"/>
  <c r="E18"/>
  <c r="D18"/>
  <c r="C18"/>
  <c r="L17"/>
  <c r="K17"/>
  <c r="J17"/>
  <c r="I17"/>
  <c r="H17"/>
  <c r="G17"/>
  <c r="F17"/>
  <c r="E17"/>
  <c r="D17"/>
  <c r="C17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P13"/>
  <c r="O13"/>
  <c r="N13"/>
  <c r="M13"/>
  <c r="L13"/>
  <c r="K13"/>
  <c r="J13"/>
  <c r="I13"/>
  <c r="H13"/>
  <c r="G13"/>
  <c r="F13"/>
  <c r="E13"/>
  <c r="D13"/>
  <c r="C13"/>
  <c r="B27"/>
  <c r="B26"/>
  <c r="B25"/>
  <c r="B24"/>
  <c r="B23"/>
  <c r="B22"/>
  <c r="B21"/>
  <c r="B20"/>
  <c r="B19"/>
  <c r="B18"/>
  <c r="B17"/>
  <c r="B16"/>
  <c r="B15"/>
  <c r="B14"/>
  <c r="B13"/>
  <c r="C23" i="15"/>
  <c r="D22"/>
  <c r="C22"/>
  <c r="E21"/>
  <c r="D21"/>
  <c r="C21"/>
  <c r="F20"/>
  <c r="E20"/>
  <c r="D20"/>
  <c r="C20"/>
  <c r="G19"/>
  <c r="F19"/>
  <c r="E19"/>
  <c r="D19"/>
  <c r="C19"/>
  <c r="H18"/>
  <c r="G18"/>
  <c r="F18"/>
  <c r="E18"/>
  <c r="D18"/>
  <c r="C18"/>
  <c r="I17"/>
  <c r="H17"/>
  <c r="G17"/>
  <c r="F17"/>
  <c r="E17"/>
  <c r="D17"/>
  <c r="C17"/>
  <c r="J16"/>
  <c r="I16"/>
  <c r="H16"/>
  <c r="G16"/>
  <c r="F16"/>
  <c r="E16"/>
  <c r="D16"/>
  <c r="C16"/>
  <c r="K15"/>
  <c r="J15"/>
  <c r="I15"/>
  <c r="H15"/>
  <c r="G15"/>
  <c r="F15"/>
  <c r="E15"/>
  <c r="D15"/>
  <c r="C15"/>
  <c r="L14"/>
  <c r="K14"/>
  <c r="J14"/>
  <c r="I14"/>
  <c r="H14"/>
  <c r="G14"/>
  <c r="F14"/>
  <c r="E14"/>
  <c r="D14"/>
  <c r="C14"/>
  <c r="M13"/>
  <c r="L13"/>
  <c r="K13"/>
  <c r="J13"/>
  <c r="I13"/>
  <c r="H13"/>
  <c r="G13"/>
  <c r="F13"/>
  <c r="E13"/>
  <c r="D13"/>
  <c r="C13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P10"/>
  <c r="O10"/>
  <c r="N10"/>
  <c r="M10"/>
  <c r="L10"/>
  <c r="K10"/>
  <c r="J10"/>
  <c r="I10"/>
  <c r="H10"/>
  <c r="G10"/>
  <c r="F10"/>
  <c r="E10"/>
  <c r="D10"/>
  <c r="C10"/>
  <c r="B24"/>
  <c r="B23"/>
  <c r="B22"/>
  <c r="B21"/>
  <c r="B20"/>
  <c r="B19"/>
  <c r="B18"/>
  <c r="B17"/>
  <c r="B16"/>
  <c r="B15"/>
  <c r="B14"/>
  <c r="B13"/>
  <c r="B12"/>
  <c r="B11"/>
  <c r="B10"/>
  <c r="C124" i="41"/>
  <c r="C123"/>
  <c r="C122"/>
  <c r="C121"/>
  <c r="C120"/>
  <c r="C119"/>
  <c r="C118"/>
  <c r="C117"/>
  <c r="C116"/>
  <c r="C115"/>
  <c r="C114"/>
  <c r="C113"/>
  <c r="C112"/>
  <c r="C111"/>
  <c r="C110"/>
  <c r="C31"/>
  <c r="A31"/>
  <c r="A30" s="1"/>
  <c r="A29" s="1"/>
  <c r="A28" s="1"/>
  <c r="A27" s="1"/>
  <c r="A26" s="1"/>
  <c r="A25" s="1"/>
  <c r="A24" s="1"/>
  <c r="A23" s="1"/>
  <c r="A22" s="1"/>
  <c r="A21" s="1"/>
  <c r="A20" s="1"/>
  <c r="A19" s="1"/>
  <c r="A18" s="1"/>
  <c r="A17" s="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A3"/>
  <c r="A2"/>
  <c r="F31" i="16"/>
  <c r="F30"/>
  <c r="F29"/>
  <c r="F28"/>
  <c r="F27"/>
  <c r="F26"/>
  <c r="F25"/>
  <c r="F24"/>
  <c r="F23"/>
  <c r="F22"/>
  <c r="F21"/>
  <c r="F20"/>
  <c r="F19"/>
  <c r="F18"/>
  <c r="F17"/>
  <c r="C123" i="11"/>
  <c r="C122"/>
  <c r="C121"/>
  <c r="C120"/>
  <c r="C119"/>
  <c r="C118"/>
  <c r="C117"/>
  <c r="C116"/>
  <c r="C115"/>
  <c r="C114"/>
  <c r="C113"/>
  <c r="C112"/>
  <c r="C111"/>
  <c r="C110"/>
  <c r="C124"/>
  <c r="C121" i="10"/>
  <c r="C120"/>
  <c r="C119"/>
  <c r="C118"/>
  <c r="C117"/>
  <c r="C116"/>
  <c r="C115"/>
  <c r="C114"/>
  <c r="C113"/>
  <c r="C112"/>
  <c r="C111"/>
  <c r="C110"/>
  <c r="C109"/>
  <c r="C108"/>
  <c r="C122"/>
  <c r="B123" i="39"/>
  <c r="B122"/>
  <c r="B121"/>
  <c r="B120"/>
  <c r="B119"/>
  <c r="B118"/>
  <c r="B117"/>
  <c r="B116"/>
  <c r="B115"/>
  <c r="B114"/>
  <c r="B113"/>
  <c r="B112"/>
  <c r="B111"/>
  <c r="B110"/>
  <c r="B124"/>
  <c r="B119" i="9"/>
  <c r="B118"/>
  <c r="B117"/>
  <c r="B116"/>
  <c r="B115"/>
  <c r="B114"/>
  <c r="B113"/>
  <c r="B112"/>
  <c r="B111"/>
  <c r="B110"/>
  <c r="B109"/>
  <c r="B108"/>
  <c r="B107"/>
  <c r="B106"/>
  <c r="B120"/>
  <c r="B123" i="8"/>
  <c r="B122"/>
  <c r="B121"/>
  <c r="B120"/>
  <c r="B119"/>
  <c r="B118"/>
  <c r="B117"/>
  <c r="B116"/>
  <c r="B115"/>
  <c r="B114"/>
  <c r="B113"/>
  <c r="B112"/>
  <c r="B111"/>
  <c r="B110"/>
  <c r="B124"/>
  <c r="C123" i="29"/>
  <c r="C122"/>
  <c r="C121"/>
  <c r="C120"/>
  <c r="C119"/>
  <c r="C118"/>
  <c r="C117"/>
  <c r="C116"/>
  <c r="C115"/>
  <c r="C114"/>
  <c r="C113"/>
  <c r="C112"/>
  <c r="C111"/>
  <c r="C110"/>
  <c r="C124"/>
  <c r="B121" i="14"/>
  <c r="B120" s="1"/>
  <c r="B119" s="1"/>
  <c r="B118" s="1"/>
  <c r="B117" s="1"/>
  <c r="B116" s="1"/>
  <c r="B115" s="1"/>
  <c r="B114" s="1"/>
  <c r="B113" s="1"/>
  <c r="B112" s="1"/>
  <c r="B111" s="1"/>
  <c r="B110" s="1"/>
  <c r="B109" s="1"/>
  <c r="B108" s="1"/>
  <c r="B31" i="39"/>
  <c r="A31"/>
  <c r="A30" s="1"/>
  <c r="A29" s="1"/>
  <c r="A28" s="1"/>
  <c r="A27" s="1"/>
  <c r="A26" s="1"/>
  <c r="A25" s="1"/>
  <c r="A24" s="1"/>
  <c r="A23" s="1"/>
  <c r="B30"/>
  <c r="B29"/>
  <c r="B28"/>
  <c r="B27"/>
  <c r="B26"/>
  <c r="B25"/>
  <c r="B24"/>
  <c r="B23"/>
  <c r="B22"/>
  <c r="B21"/>
  <c r="B20"/>
  <c r="B19"/>
  <c r="B18"/>
  <c r="B17"/>
  <c r="G15"/>
  <c r="A14"/>
  <c r="A3"/>
  <c r="A2"/>
  <c r="C124" i="38"/>
  <c r="C123"/>
  <c r="B123"/>
  <c r="C122"/>
  <c r="B122"/>
  <c r="B121" s="1"/>
  <c r="B120" s="1"/>
  <c r="B119" s="1"/>
  <c r="B118" s="1"/>
  <c r="B117" s="1"/>
  <c r="B116" s="1"/>
  <c r="B115" s="1"/>
  <c r="B114" s="1"/>
  <c r="B113" s="1"/>
  <c r="B112" s="1"/>
  <c r="B111" s="1"/>
  <c r="B110" s="1"/>
  <c r="C121"/>
  <c r="C120"/>
  <c r="C119"/>
  <c r="C118"/>
  <c r="C117"/>
  <c r="C116"/>
  <c r="C115"/>
  <c r="C114"/>
  <c r="C113"/>
  <c r="C112"/>
  <c r="C111"/>
  <c r="C110"/>
  <c r="C31"/>
  <c r="A31"/>
  <c r="A30" s="1"/>
  <c r="A29" s="1"/>
  <c r="A28" s="1"/>
  <c r="A27" s="1"/>
  <c r="A26" s="1"/>
  <c r="A25" s="1"/>
  <c r="A24" s="1"/>
  <c r="A23" s="1"/>
  <c r="A22" s="1"/>
  <c r="A21" s="1"/>
  <c r="A20" s="1"/>
  <c r="A19" s="1"/>
  <c r="A18" s="1"/>
  <c r="A17" s="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A3"/>
  <c r="A2"/>
  <c r="C31" i="7"/>
  <c r="C30"/>
  <c r="C29"/>
  <c r="C28"/>
  <c r="C27"/>
  <c r="C26"/>
  <c r="C25"/>
  <c r="C24"/>
  <c r="C23"/>
  <c r="C22"/>
  <c r="C21"/>
  <c r="C20"/>
  <c r="C19"/>
  <c r="C18"/>
  <c r="C17"/>
  <c r="C33" i="41" l="1"/>
  <c r="M33" i="6"/>
  <c r="R33" s="1"/>
  <c r="C33" i="38"/>
  <c r="C126" i="41"/>
  <c r="D35" i="39"/>
  <c r="A22"/>
  <c r="A21" s="1"/>
  <c r="A20" s="1"/>
  <c r="A19" s="1"/>
  <c r="A18" s="1"/>
  <c r="A17" s="1"/>
  <c r="C126" i="38"/>
  <c r="B126" i="39"/>
  <c r="C126" i="29"/>
  <c r="B33" i="39"/>
  <c r="B110" i="12"/>
  <c r="C26" i="13"/>
  <c r="D25"/>
  <c r="C25"/>
  <c r="E24"/>
  <c r="D24"/>
  <c r="C24"/>
  <c r="F23"/>
  <c r="E23"/>
  <c r="D23"/>
  <c r="C23"/>
  <c r="G22"/>
  <c r="F22"/>
  <c r="E22"/>
  <c r="D22"/>
  <c r="C22"/>
  <c r="H21"/>
  <c r="G21"/>
  <c r="F21"/>
  <c r="E21"/>
  <c r="D21"/>
  <c r="C21"/>
  <c r="B21"/>
  <c r="I20"/>
  <c r="H20"/>
  <c r="G20"/>
  <c r="F20"/>
  <c r="E20"/>
  <c r="D20"/>
  <c r="C20"/>
  <c r="J19"/>
  <c r="I19"/>
  <c r="H19"/>
  <c r="G19"/>
  <c r="F19"/>
  <c r="E19"/>
  <c r="D19"/>
  <c r="C19"/>
  <c r="K18"/>
  <c r="J18"/>
  <c r="I18"/>
  <c r="H18"/>
  <c r="G18"/>
  <c r="F18"/>
  <c r="E18"/>
  <c r="D18"/>
  <c r="C18"/>
  <c r="B18"/>
  <c r="L17"/>
  <c r="K17"/>
  <c r="J17"/>
  <c r="I17"/>
  <c r="H17"/>
  <c r="G17"/>
  <c r="F17"/>
  <c r="E17"/>
  <c r="D17"/>
  <c r="C17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P13"/>
  <c r="O13"/>
  <c r="N13"/>
  <c r="M13"/>
  <c r="L13"/>
  <c r="K13"/>
  <c r="J13"/>
  <c r="I13"/>
  <c r="H13"/>
  <c r="G13"/>
  <c r="F13"/>
  <c r="E13"/>
  <c r="D13"/>
  <c r="C13"/>
  <c r="B27"/>
  <c r="B26"/>
  <c r="B25"/>
  <c r="B24"/>
  <c r="B23"/>
  <c r="B22"/>
  <c r="B20"/>
  <c r="B19"/>
  <c r="B17"/>
  <c r="B16"/>
  <c r="B15"/>
  <c r="B14"/>
  <c r="B13"/>
  <c r="B31" i="32"/>
  <c r="C123" i="31"/>
  <c r="D122"/>
  <c r="C122"/>
  <c r="E121"/>
  <c r="D121"/>
  <c r="C121"/>
  <c r="F120"/>
  <c r="E120"/>
  <c r="D120"/>
  <c r="C120"/>
  <c r="G119"/>
  <c r="F119"/>
  <c r="E119"/>
  <c r="D119"/>
  <c r="C119"/>
  <c r="H118"/>
  <c r="G118"/>
  <c r="F118"/>
  <c r="E118"/>
  <c r="D118"/>
  <c r="C118"/>
  <c r="I117"/>
  <c r="H117"/>
  <c r="G117"/>
  <c r="F117"/>
  <c r="E117"/>
  <c r="D117"/>
  <c r="C117"/>
  <c r="J116"/>
  <c r="I116"/>
  <c r="H116"/>
  <c r="G116"/>
  <c r="F116"/>
  <c r="E116"/>
  <c r="D116"/>
  <c r="C116"/>
  <c r="K115"/>
  <c r="J115"/>
  <c r="I115"/>
  <c r="H115"/>
  <c r="G115"/>
  <c r="F115"/>
  <c r="E115"/>
  <c r="D115"/>
  <c r="C115"/>
  <c r="L114"/>
  <c r="K114"/>
  <c r="J114"/>
  <c r="I114"/>
  <c r="H114"/>
  <c r="G114"/>
  <c r="F114"/>
  <c r="E114"/>
  <c r="D114"/>
  <c r="C114"/>
  <c r="M113"/>
  <c r="L113"/>
  <c r="K113"/>
  <c r="J113"/>
  <c r="I113"/>
  <c r="H113"/>
  <c r="G113"/>
  <c r="F113"/>
  <c r="E113"/>
  <c r="D113"/>
  <c r="C113"/>
  <c r="N112"/>
  <c r="M112"/>
  <c r="L112"/>
  <c r="K112"/>
  <c r="J112"/>
  <c r="I112"/>
  <c r="H112"/>
  <c r="G112"/>
  <c r="F112"/>
  <c r="E112"/>
  <c r="D112"/>
  <c r="C112"/>
  <c r="O111"/>
  <c r="N111"/>
  <c r="M111"/>
  <c r="L111"/>
  <c r="K111"/>
  <c r="J111"/>
  <c r="I111"/>
  <c r="H111"/>
  <c r="G111"/>
  <c r="F111"/>
  <c r="E111"/>
  <c r="D111"/>
  <c r="C111"/>
  <c r="P110"/>
  <c r="O110"/>
  <c r="N110"/>
  <c r="M110"/>
  <c r="L110"/>
  <c r="K110"/>
  <c r="J110"/>
  <c r="I110"/>
  <c r="H110"/>
  <c r="G110"/>
  <c r="F110"/>
  <c r="E110"/>
  <c r="D110"/>
  <c r="C110"/>
  <c r="B124"/>
  <c r="B123"/>
  <c r="B122"/>
  <c r="B121"/>
  <c r="B120"/>
  <c r="B119"/>
  <c r="B118"/>
  <c r="B117"/>
  <c r="B116"/>
  <c r="B115"/>
  <c r="B114"/>
  <c r="B113"/>
  <c r="B112"/>
  <c r="B111"/>
  <c r="B110"/>
  <c r="C125" i="30"/>
  <c r="D124"/>
  <c r="C124"/>
  <c r="E123"/>
  <c r="D123"/>
  <c r="C123"/>
  <c r="F122"/>
  <c r="E122"/>
  <c r="D122"/>
  <c r="C122"/>
  <c r="G121"/>
  <c r="F121"/>
  <c r="E121"/>
  <c r="D121"/>
  <c r="C121"/>
  <c r="H120"/>
  <c r="G120"/>
  <c r="F120"/>
  <c r="E120"/>
  <c r="D120"/>
  <c r="C120"/>
  <c r="I119"/>
  <c r="H119"/>
  <c r="G119"/>
  <c r="F119"/>
  <c r="E119"/>
  <c r="D119"/>
  <c r="C119"/>
  <c r="J118"/>
  <c r="I118"/>
  <c r="H118"/>
  <c r="G118"/>
  <c r="F118"/>
  <c r="E118"/>
  <c r="D118"/>
  <c r="C118"/>
  <c r="K117"/>
  <c r="J117"/>
  <c r="I117"/>
  <c r="H117"/>
  <c r="G117"/>
  <c r="F117"/>
  <c r="E117"/>
  <c r="D117"/>
  <c r="C117"/>
  <c r="L116"/>
  <c r="K116"/>
  <c r="J116"/>
  <c r="I116"/>
  <c r="H116"/>
  <c r="G116"/>
  <c r="F116"/>
  <c r="E116"/>
  <c r="D116"/>
  <c r="C116"/>
  <c r="M115"/>
  <c r="L115"/>
  <c r="K115"/>
  <c r="J115"/>
  <c r="I115"/>
  <c r="H115"/>
  <c r="G115"/>
  <c r="F115"/>
  <c r="E115"/>
  <c r="D115"/>
  <c r="C115"/>
  <c r="N114"/>
  <c r="M114"/>
  <c r="L114"/>
  <c r="K114"/>
  <c r="J114"/>
  <c r="I114"/>
  <c r="H114"/>
  <c r="G114"/>
  <c r="F114"/>
  <c r="E114"/>
  <c r="D114"/>
  <c r="C114"/>
  <c r="O113"/>
  <c r="N113"/>
  <c r="M113"/>
  <c r="L113"/>
  <c r="K113"/>
  <c r="J113"/>
  <c r="I113"/>
  <c r="H113"/>
  <c r="G113"/>
  <c r="F113"/>
  <c r="E113"/>
  <c r="D113"/>
  <c r="C113"/>
  <c r="P112"/>
  <c r="O112"/>
  <c r="N112"/>
  <c r="M112"/>
  <c r="L112"/>
  <c r="K112"/>
  <c r="J112"/>
  <c r="I112"/>
  <c r="H112"/>
  <c r="G112"/>
  <c r="F112"/>
  <c r="E112"/>
  <c r="D112"/>
  <c r="C112"/>
  <c r="B126"/>
  <c r="B125"/>
  <c r="B124"/>
  <c r="B123"/>
  <c r="B122"/>
  <c r="B121"/>
  <c r="B120"/>
  <c r="B119"/>
  <c r="B118"/>
  <c r="B117"/>
  <c r="B116"/>
  <c r="B115"/>
  <c r="B114"/>
  <c r="B113"/>
  <c r="B112"/>
  <c r="C122" i="15"/>
  <c r="D121"/>
  <c r="C121"/>
  <c r="E120"/>
  <c r="D120"/>
  <c r="C120"/>
  <c r="F119"/>
  <c r="E119"/>
  <c r="D119"/>
  <c r="C119"/>
  <c r="G118"/>
  <c r="F118"/>
  <c r="E118"/>
  <c r="D118"/>
  <c r="C118"/>
  <c r="H117"/>
  <c r="G117"/>
  <c r="F117"/>
  <c r="E117"/>
  <c r="D117"/>
  <c r="C117"/>
  <c r="I116"/>
  <c r="H116"/>
  <c r="G116"/>
  <c r="F116"/>
  <c r="E116"/>
  <c r="D116"/>
  <c r="C116"/>
  <c r="J115"/>
  <c r="I115"/>
  <c r="H115"/>
  <c r="G115"/>
  <c r="F115"/>
  <c r="E115"/>
  <c r="D115"/>
  <c r="C115"/>
  <c r="K114"/>
  <c r="J114"/>
  <c r="I114"/>
  <c r="H114"/>
  <c r="G114"/>
  <c r="F114"/>
  <c r="E114"/>
  <c r="D114"/>
  <c r="C114"/>
  <c r="L113"/>
  <c r="K113"/>
  <c r="J113"/>
  <c r="I113"/>
  <c r="H113"/>
  <c r="G113"/>
  <c r="F113"/>
  <c r="E113"/>
  <c r="D113"/>
  <c r="C113"/>
  <c r="M112"/>
  <c r="L112"/>
  <c r="K112"/>
  <c r="J112"/>
  <c r="I112"/>
  <c r="H112"/>
  <c r="G112"/>
  <c r="F112"/>
  <c r="E112"/>
  <c r="D112"/>
  <c r="C112"/>
  <c r="N111"/>
  <c r="M111"/>
  <c r="L111"/>
  <c r="K111"/>
  <c r="J11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P109"/>
  <c r="O109"/>
  <c r="N109"/>
  <c r="M109"/>
  <c r="L109"/>
  <c r="K109"/>
  <c r="J109"/>
  <c r="I109"/>
  <c r="H109"/>
  <c r="G109"/>
  <c r="F109"/>
  <c r="E109"/>
  <c r="D109"/>
  <c r="C109"/>
  <c r="B123"/>
  <c r="B122"/>
  <c r="B121"/>
  <c r="B120"/>
  <c r="B119"/>
  <c r="B118"/>
  <c r="B117"/>
  <c r="B116"/>
  <c r="B115"/>
  <c r="B114"/>
  <c r="B113"/>
  <c r="B112"/>
  <c r="B111"/>
  <c r="B110"/>
  <c r="B109"/>
  <c r="E122" i="11"/>
  <c r="E29" s="1"/>
  <c r="E121"/>
  <c r="E28" s="1"/>
  <c r="E120"/>
  <c r="E27" s="1"/>
  <c r="E119"/>
  <c r="E26" s="1"/>
  <c r="E118"/>
  <c r="E25" s="1"/>
  <c r="E117"/>
  <c r="E24" s="1"/>
  <c r="E116"/>
  <c r="E23" s="1"/>
  <c r="E115"/>
  <c r="E22" s="1"/>
  <c r="E114"/>
  <c r="E21" s="1"/>
  <c r="E113"/>
  <c r="E20" s="1"/>
  <c r="E112"/>
  <c r="E19" s="1"/>
  <c r="E111"/>
  <c r="E18" s="1"/>
  <c r="E110"/>
  <c r="E17" s="1"/>
  <c r="E123"/>
  <c r="E30" s="1"/>
  <c r="E124"/>
  <c r="E31" s="1"/>
  <c r="N56" i="13" l="1"/>
  <c r="N53" i="43" s="1"/>
  <c r="O56" i="13"/>
  <c r="C123" i="12"/>
  <c r="C23" s="1"/>
  <c r="D122"/>
  <c r="D22" s="1"/>
  <c r="C122"/>
  <c r="C22" s="1"/>
  <c r="E121"/>
  <c r="E21" s="1"/>
  <c r="D121"/>
  <c r="C121"/>
  <c r="C21" s="1"/>
  <c r="F120"/>
  <c r="E120"/>
  <c r="E20" s="1"/>
  <c r="D120"/>
  <c r="D20" s="1"/>
  <c r="C120"/>
  <c r="C20" s="1"/>
  <c r="G119"/>
  <c r="F119"/>
  <c r="F19" s="1"/>
  <c r="E119"/>
  <c r="D119"/>
  <c r="D19" s="1"/>
  <c r="C119"/>
  <c r="C19" s="1"/>
  <c r="H118"/>
  <c r="H18" s="1"/>
  <c r="G118"/>
  <c r="F118"/>
  <c r="F18" s="1"/>
  <c r="E118"/>
  <c r="D118"/>
  <c r="D18" s="1"/>
  <c r="C118"/>
  <c r="I117"/>
  <c r="I17" s="1"/>
  <c r="H117"/>
  <c r="G117"/>
  <c r="G17" s="1"/>
  <c r="F117"/>
  <c r="E117"/>
  <c r="E17" s="1"/>
  <c r="D117"/>
  <c r="C117"/>
  <c r="C17" s="1"/>
  <c r="J116"/>
  <c r="I116"/>
  <c r="I16" s="1"/>
  <c r="H116"/>
  <c r="G116"/>
  <c r="G16" s="1"/>
  <c r="F116"/>
  <c r="E116"/>
  <c r="E16" s="1"/>
  <c r="D116"/>
  <c r="C116"/>
  <c r="C16" s="1"/>
  <c r="K115"/>
  <c r="J115"/>
  <c r="J15" s="1"/>
  <c r="I115"/>
  <c r="H115"/>
  <c r="H15" s="1"/>
  <c r="G115"/>
  <c r="F135" s="1"/>
  <c r="F115"/>
  <c r="F15" s="1"/>
  <c r="E115"/>
  <c r="D115"/>
  <c r="D15" s="1"/>
  <c r="C115"/>
  <c r="L114"/>
  <c r="L14" s="1"/>
  <c r="K114"/>
  <c r="J114"/>
  <c r="J14" s="1"/>
  <c r="I114"/>
  <c r="H114"/>
  <c r="H14" s="1"/>
  <c r="G114"/>
  <c r="F114"/>
  <c r="F14" s="1"/>
  <c r="E114"/>
  <c r="D114"/>
  <c r="D14" s="1"/>
  <c r="C114"/>
  <c r="M113"/>
  <c r="M13" s="1"/>
  <c r="L113"/>
  <c r="K113"/>
  <c r="K13" s="1"/>
  <c r="J113"/>
  <c r="I113"/>
  <c r="I13" s="1"/>
  <c r="H113"/>
  <c r="G113"/>
  <c r="G13" s="1"/>
  <c r="F113"/>
  <c r="E113"/>
  <c r="E13" s="1"/>
  <c r="D113"/>
  <c r="C113"/>
  <c r="C13" s="1"/>
  <c r="N112"/>
  <c r="M112"/>
  <c r="M12" s="1"/>
  <c r="L112"/>
  <c r="K112"/>
  <c r="K12" s="1"/>
  <c r="J112"/>
  <c r="I112"/>
  <c r="I12" s="1"/>
  <c r="H112"/>
  <c r="G112"/>
  <c r="G12" s="1"/>
  <c r="F112"/>
  <c r="E112"/>
  <c r="E12" s="1"/>
  <c r="D112"/>
  <c r="C112"/>
  <c r="C12" s="1"/>
  <c r="O111"/>
  <c r="N111"/>
  <c r="N11" s="1"/>
  <c r="M111"/>
  <c r="L111"/>
  <c r="L11" s="1"/>
  <c r="K111"/>
  <c r="J111"/>
  <c r="J11" s="1"/>
  <c r="I111"/>
  <c r="H111"/>
  <c r="H11" s="1"/>
  <c r="G111"/>
  <c r="F111"/>
  <c r="F11" s="1"/>
  <c r="E111"/>
  <c r="D111"/>
  <c r="D11" s="1"/>
  <c r="C111"/>
  <c r="P110"/>
  <c r="P10" s="1"/>
  <c r="O110"/>
  <c r="N110"/>
  <c r="N10" s="1"/>
  <c r="M110"/>
  <c r="L110"/>
  <c r="L10" s="1"/>
  <c r="K110"/>
  <c r="J110"/>
  <c r="J10" s="1"/>
  <c r="I110"/>
  <c r="H110"/>
  <c r="H10" s="1"/>
  <c r="G110"/>
  <c r="F110"/>
  <c r="F10" s="1"/>
  <c r="E110"/>
  <c r="E10" s="1"/>
  <c r="D110"/>
  <c r="D10" s="1"/>
  <c r="C110"/>
  <c r="C10" s="1"/>
  <c r="B124"/>
  <c r="B24" s="1"/>
  <c r="B123"/>
  <c r="B23" s="1"/>
  <c r="B122"/>
  <c r="B22" s="1"/>
  <c r="B121"/>
  <c r="B120"/>
  <c r="B20" s="1"/>
  <c r="B119"/>
  <c r="B19" s="1"/>
  <c r="B39" s="1"/>
  <c r="B118"/>
  <c r="B18" s="1"/>
  <c r="B117"/>
  <c r="B116"/>
  <c r="B16" s="1"/>
  <c r="B115"/>
  <c r="B15" s="1"/>
  <c r="B114"/>
  <c r="B14" s="1"/>
  <c r="B113"/>
  <c r="B112"/>
  <c r="B12" s="1"/>
  <c r="B32" s="1"/>
  <c r="B111"/>
  <c r="B11" s="1"/>
  <c r="B10"/>
  <c r="C142"/>
  <c r="H146"/>
  <c r="J151"/>
  <c r="L151"/>
  <c r="H151"/>
  <c r="H152"/>
  <c r="J152"/>
  <c r="I152"/>
  <c r="I151"/>
  <c r="A127"/>
  <c r="A124"/>
  <c r="A143" s="1"/>
  <c r="C108"/>
  <c r="D108" s="1"/>
  <c r="E108" s="1"/>
  <c r="F108" s="1"/>
  <c r="S55" i="36"/>
  <c r="AK55" s="1"/>
  <c r="AK56" s="1"/>
  <c r="C31" i="11"/>
  <c r="C30"/>
  <c r="C29"/>
  <c r="C28"/>
  <c r="C27"/>
  <c r="C26"/>
  <c r="C25"/>
  <c r="C24"/>
  <c r="C23"/>
  <c r="C22"/>
  <c r="C21"/>
  <c r="C20"/>
  <c r="C19"/>
  <c r="C18"/>
  <c r="C17"/>
  <c r="N53" i="12" l="1"/>
  <c r="O53"/>
  <c r="O53" i="43"/>
  <c r="D40" i="12"/>
  <c r="C39"/>
  <c r="B36"/>
  <c r="B42"/>
  <c r="C42"/>
  <c r="B40"/>
  <c r="B43"/>
  <c r="B30"/>
  <c r="D30"/>
  <c r="B140"/>
  <c r="B132"/>
  <c r="D132"/>
  <c r="C30"/>
  <c r="E30"/>
  <c r="C40"/>
  <c r="B137"/>
  <c r="B17"/>
  <c r="B37" s="1"/>
  <c r="J130"/>
  <c r="K10"/>
  <c r="K30" s="1"/>
  <c r="E131"/>
  <c r="E11"/>
  <c r="E31" s="1"/>
  <c r="M131"/>
  <c r="M11"/>
  <c r="M31" s="1"/>
  <c r="G132"/>
  <c r="H12"/>
  <c r="H32" s="1"/>
  <c r="D133"/>
  <c r="D13"/>
  <c r="D33" s="1"/>
  <c r="L133"/>
  <c r="L13"/>
  <c r="L33" s="1"/>
  <c r="H134"/>
  <c r="I14"/>
  <c r="I34" s="1"/>
  <c r="G135"/>
  <c r="G15"/>
  <c r="G35" s="1"/>
  <c r="E136"/>
  <c r="F16"/>
  <c r="F36" s="1"/>
  <c r="F137"/>
  <c r="F17"/>
  <c r="F37" s="1"/>
  <c r="F138"/>
  <c r="G18"/>
  <c r="G38" s="1"/>
  <c r="H130"/>
  <c r="I10"/>
  <c r="I30" s="1"/>
  <c r="C131"/>
  <c r="C11"/>
  <c r="C31" s="1"/>
  <c r="K131"/>
  <c r="K11"/>
  <c r="K31" s="1"/>
  <c r="E132"/>
  <c r="F12"/>
  <c r="F32" s="1"/>
  <c r="M132"/>
  <c r="N12"/>
  <c r="M32" s="1"/>
  <c r="J133"/>
  <c r="J13"/>
  <c r="J33" s="1"/>
  <c r="F134"/>
  <c r="G14"/>
  <c r="G34" s="1"/>
  <c r="E135"/>
  <c r="E15"/>
  <c r="E35" s="1"/>
  <c r="C136"/>
  <c r="D16"/>
  <c r="D36" s="1"/>
  <c r="D137"/>
  <c r="D17"/>
  <c r="D37" s="1"/>
  <c r="D138"/>
  <c r="E18"/>
  <c r="E38" s="1"/>
  <c r="F139"/>
  <c r="G19"/>
  <c r="F39" s="1"/>
  <c r="B133"/>
  <c r="B13"/>
  <c r="B33" s="1"/>
  <c r="B141"/>
  <c r="B21"/>
  <c r="B41" s="1"/>
  <c r="F130"/>
  <c r="G10"/>
  <c r="G30" s="1"/>
  <c r="N130"/>
  <c r="O10"/>
  <c r="O30" s="1"/>
  <c r="I131"/>
  <c r="I11"/>
  <c r="I31" s="1"/>
  <c r="C132"/>
  <c r="D12"/>
  <c r="D32" s="1"/>
  <c r="K132"/>
  <c r="L12"/>
  <c r="L32" s="1"/>
  <c r="H133"/>
  <c r="H13"/>
  <c r="H33" s="1"/>
  <c r="D134"/>
  <c r="E14"/>
  <c r="E34" s="1"/>
  <c r="C135"/>
  <c r="C15"/>
  <c r="C35" s="1"/>
  <c r="J135"/>
  <c r="K15"/>
  <c r="J35" s="1"/>
  <c r="I136"/>
  <c r="J16"/>
  <c r="I36" s="1"/>
  <c r="C138"/>
  <c r="C18"/>
  <c r="C38" s="1"/>
  <c r="E139"/>
  <c r="E19"/>
  <c r="E39" s="1"/>
  <c r="D141"/>
  <c r="D21"/>
  <c r="D41" s="1"/>
  <c r="B136"/>
  <c r="M130"/>
  <c r="M10"/>
  <c r="M30" s="1"/>
  <c r="G131"/>
  <c r="G11"/>
  <c r="G31" s="1"/>
  <c r="N131"/>
  <c r="O11"/>
  <c r="N31" s="1"/>
  <c r="I132"/>
  <c r="J12"/>
  <c r="J32" s="1"/>
  <c r="F133"/>
  <c r="F13"/>
  <c r="F33" s="1"/>
  <c r="B134"/>
  <c r="C14"/>
  <c r="C34" s="1"/>
  <c r="J134"/>
  <c r="K14"/>
  <c r="K34" s="1"/>
  <c r="I135"/>
  <c r="I15"/>
  <c r="I35" s="1"/>
  <c r="G136"/>
  <c r="H16"/>
  <c r="H36" s="1"/>
  <c r="H137"/>
  <c r="H17"/>
  <c r="H37" s="1"/>
  <c r="E140"/>
  <c r="F20"/>
  <c r="E40" s="1"/>
  <c r="G137"/>
  <c r="I133"/>
  <c r="H131"/>
  <c r="L132"/>
  <c r="G134"/>
  <c r="F136"/>
  <c r="D139"/>
  <c r="D130"/>
  <c r="D131"/>
  <c r="L131"/>
  <c r="H132"/>
  <c r="E133"/>
  <c r="C134"/>
  <c r="K134"/>
  <c r="C137"/>
  <c r="E138"/>
  <c r="D140"/>
  <c r="G152"/>
  <c r="F151"/>
  <c r="B143"/>
  <c r="E151"/>
  <c r="E153"/>
  <c r="F152"/>
  <c r="G151"/>
  <c r="G153"/>
  <c r="B138"/>
  <c r="B142"/>
  <c r="O130"/>
  <c r="F131"/>
  <c r="J131"/>
  <c r="F132"/>
  <c r="J132"/>
  <c r="C133"/>
  <c r="G133"/>
  <c r="K133"/>
  <c r="E134"/>
  <c r="I134"/>
  <c r="D135"/>
  <c r="H135"/>
  <c r="D136"/>
  <c r="H136"/>
  <c r="E137"/>
  <c r="G138"/>
  <c r="C141"/>
  <c r="E152"/>
  <c r="F153"/>
  <c r="B131"/>
  <c r="B135"/>
  <c r="B139"/>
  <c r="C139"/>
  <c r="C140"/>
  <c r="B130"/>
  <c r="C130"/>
  <c r="E130"/>
  <c r="G130"/>
  <c r="I130"/>
  <c r="K130"/>
  <c r="L130"/>
  <c r="K146"/>
  <c r="K151"/>
  <c r="M151"/>
  <c r="I149"/>
  <c r="M149"/>
  <c r="O149"/>
  <c r="J146"/>
  <c r="I146"/>
  <c r="K152"/>
  <c r="H149"/>
  <c r="J149"/>
  <c r="N149"/>
  <c r="L146"/>
  <c r="L149"/>
  <c r="G108"/>
  <c r="H147"/>
  <c r="J147"/>
  <c r="L147"/>
  <c r="K149"/>
  <c r="A123"/>
  <c r="I147"/>
  <c r="K147"/>
  <c r="C126" i="11"/>
  <c r="C33"/>
  <c r="G149" i="12" l="1"/>
  <c r="F148"/>
  <c r="E149"/>
  <c r="E146"/>
  <c r="F38"/>
  <c r="G37"/>
  <c r="C37"/>
  <c r="G36"/>
  <c r="C36"/>
  <c r="H35"/>
  <c r="D35"/>
  <c r="H34"/>
  <c r="D34"/>
  <c r="I33"/>
  <c r="E33"/>
  <c r="I32"/>
  <c r="E32"/>
  <c r="J31"/>
  <c r="F31"/>
  <c r="N30"/>
  <c r="J30"/>
  <c r="F30"/>
  <c r="B31"/>
  <c r="B34"/>
  <c r="C41"/>
  <c r="D39"/>
  <c r="D38"/>
  <c r="E37"/>
  <c r="E36"/>
  <c r="F35"/>
  <c r="J34"/>
  <c r="F34"/>
  <c r="K33"/>
  <c r="G33"/>
  <c r="C33"/>
  <c r="K32"/>
  <c r="G32"/>
  <c r="C32"/>
  <c r="L31"/>
  <c r="H31"/>
  <c r="D31"/>
  <c r="L30"/>
  <c r="H30"/>
  <c r="B35"/>
  <c r="B38"/>
  <c r="E148"/>
  <c r="F146"/>
  <c r="G147"/>
  <c r="F147"/>
  <c r="F149"/>
  <c r="G148"/>
  <c r="G146"/>
  <c r="E147"/>
  <c r="M146"/>
  <c r="A142"/>
  <c r="A122"/>
  <c r="H108"/>
  <c r="I108" l="1"/>
  <c r="A121"/>
  <c r="A141"/>
  <c r="A140" l="1"/>
  <c r="A120"/>
  <c r="J108"/>
  <c r="K108" l="1"/>
  <c r="A139"/>
  <c r="A119"/>
  <c r="A138" l="1"/>
  <c r="A118"/>
  <c r="L108"/>
  <c r="M108" l="1"/>
  <c r="A117"/>
  <c r="A137"/>
  <c r="A136" l="1"/>
  <c r="A116"/>
  <c r="N108"/>
  <c r="O108" l="1"/>
  <c r="A135"/>
  <c r="A115"/>
  <c r="A134" l="1"/>
  <c r="A114"/>
  <c r="P108"/>
  <c r="A113" l="1"/>
  <c r="A133"/>
  <c r="A132" l="1"/>
  <c r="A112"/>
  <c r="A131" l="1"/>
  <c r="A111"/>
  <c r="A130" l="1"/>
  <c r="A110"/>
  <c r="A33" i="37" l="1"/>
  <c r="B31"/>
  <c r="A31"/>
  <c r="A30" s="1"/>
  <c r="A29" s="1"/>
  <c r="A28" s="1"/>
  <c r="A27" s="1"/>
  <c r="A26" s="1"/>
  <c r="A25" s="1"/>
  <c r="A24" s="1"/>
  <c r="A23" s="1"/>
  <c r="A22" s="1"/>
  <c r="A21" s="1"/>
  <c r="A20" s="1"/>
  <c r="A19" s="1"/>
  <c r="A18" s="1"/>
  <c r="A17" s="1"/>
  <c r="B30"/>
  <c r="B29"/>
  <c r="B28"/>
  <c r="B27"/>
  <c r="B26"/>
  <c r="B25"/>
  <c r="B24"/>
  <c r="B23"/>
  <c r="B22"/>
  <c r="B21"/>
  <c r="B20"/>
  <c r="B19"/>
  <c r="B18"/>
  <c r="B17"/>
  <c r="H15"/>
  <c r="A14"/>
  <c r="A3"/>
  <c r="A2"/>
  <c r="B27" i="18"/>
  <c r="B26"/>
  <c r="B25"/>
  <c r="B24"/>
  <c r="B23"/>
  <c r="B22"/>
  <c r="B21"/>
  <c r="B20"/>
  <c r="B19"/>
  <c r="B18"/>
  <c r="B17"/>
  <c r="B16"/>
  <c r="B15"/>
  <c r="B14"/>
  <c r="B13"/>
  <c r="B28" i="17"/>
  <c r="B121" s="1"/>
  <c r="B27"/>
  <c r="B120" s="1"/>
  <c r="B26"/>
  <c r="B119" s="1"/>
  <c r="B25"/>
  <c r="B118" s="1"/>
  <c r="B24"/>
  <c r="B117" s="1"/>
  <c r="B23"/>
  <c r="B116" s="1"/>
  <c r="B22"/>
  <c r="B115" s="1"/>
  <c r="B21"/>
  <c r="B114" s="1"/>
  <c r="B20"/>
  <c r="B113" s="1"/>
  <c r="B19"/>
  <c r="B112" s="1"/>
  <c r="B18"/>
  <c r="B111" s="1"/>
  <c r="B17"/>
  <c r="B110" s="1"/>
  <c r="B16"/>
  <c r="B109" s="1"/>
  <c r="B15"/>
  <c r="B108" s="1"/>
  <c r="B14"/>
  <c r="B107" s="1"/>
  <c r="C29" i="10"/>
  <c r="C28"/>
  <c r="C27"/>
  <c r="C26"/>
  <c r="C25"/>
  <c r="C24"/>
  <c r="C23"/>
  <c r="C22"/>
  <c r="C21"/>
  <c r="C20"/>
  <c r="C19"/>
  <c r="C18"/>
  <c r="C17"/>
  <c r="C16"/>
  <c r="C15"/>
  <c r="B27" i="9"/>
  <c r="B26"/>
  <c r="B25"/>
  <c r="B24"/>
  <c r="B23"/>
  <c r="B22"/>
  <c r="B21"/>
  <c r="B20"/>
  <c r="B19"/>
  <c r="B18"/>
  <c r="B17"/>
  <c r="B16"/>
  <c r="B15"/>
  <c r="B14"/>
  <c r="B13"/>
  <c r="B31" i="8"/>
  <c r="B30"/>
  <c r="B29"/>
  <c r="B28"/>
  <c r="B27"/>
  <c r="B26"/>
  <c r="B25"/>
  <c r="B24"/>
  <c r="B23"/>
  <c r="B22"/>
  <c r="B21"/>
  <c r="B20"/>
  <c r="B19"/>
  <c r="B18"/>
  <c r="B17"/>
  <c r="B31" i="35"/>
  <c r="B124" s="1"/>
  <c r="B30"/>
  <c r="B123" s="1"/>
  <c r="B29"/>
  <c r="B122" s="1"/>
  <c r="B28"/>
  <c r="B121" s="1"/>
  <c r="B27"/>
  <c r="B120" s="1"/>
  <c r="B26"/>
  <c r="B119" s="1"/>
  <c r="B25"/>
  <c r="B24"/>
  <c r="B117" s="1"/>
  <c r="B23"/>
  <c r="B116" s="1"/>
  <c r="B22"/>
  <c r="B115" s="1"/>
  <c r="B21"/>
  <c r="B114" s="1"/>
  <c r="B20"/>
  <c r="B113" s="1"/>
  <c r="B19"/>
  <c r="B112" s="1"/>
  <c r="B18"/>
  <c r="B111" s="1"/>
  <c r="B17"/>
  <c r="A2" i="36"/>
  <c r="A3"/>
  <c r="C31" i="29"/>
  <c r="C30"/>
  <c r="C29"/>
  <c r="C28"/>
  <c r="C27"/>
  <c r="C26"/>
  <c r="C25"/>
  <c r="C24"/>
  <c r="C23"/>
  <c r="C22"/>
  <c r="C21"/>
  <c r="C20"/>
  <c r="C19"/>
  <c r="C18"/>
  <c r="C17"/>
  <c r="C124" i="6"/>
  <c r="C123"/>
  <c r="C122"/>
  <c r="C121"/>
  <c r="C120"/>
  <c r="C119"/>
  <c r="C118"/>
  <c r="C117"/>
  <c r="C116"/>
  <c r="C115"/>
  <c r="C114"/>
  <c r="C113"/>
  <c r="C112"/>
  <c r="C111"/>
  <c r="C110"/>
  <c r="B118" i="35"/>
  <c r="B110"/>
  <c r="B31" i="16"/>
  <c r="B30"/>
  <c r="B29"/>
  <c r="B28"/>
  <c r="B27"/>
  <c r="B26"/>
  <c r="B25"/>
  <c r="B24"/>
  <c r="B23"/>
  <c r="B22"/>
  <c r="B21"/>
  <c r="B20"/>
  <c r="B19"/>
  <c r="B18"/>
  <c r="B17"/>
  <c r="C124" i="8"/>
  <c r="A124"/>
  <c r="C123"/>
  <c r="A123"/>
  <c r="C122"/>
  <c r="A122"/>
  <c r="C121"/>
  <c r="A121"/>
  <c r="C120"/>
  <c r="A120"/>
  <c r="C119"/>
  <c r="A119"/>
  <c r="C118"/>
  <c r="A118"/>
  <c r="C117"/>
  <c r="A117"/>
  <c r="C116"/>
  <c r="A116"/>
  <c r="C115"/>
  <c r="A115"/>
  <c r="C114"/>
  <c r="A114"/>
  <c r="C113"/>
  <c r="A113"/>
  <c r="C112"/>
  <c r="A112"/>
  <c r="C111"/>
  <c r="A111"/>
  <c r="C110"/>
  <c r="A110"/>
  <c r="D124" i="35"/>
  <c r="D123"/>
  <c r="D122"/>
  <c r="D121"/>
  <c r="D120"/>
  <c r="D119"/>
  <c r="D118"/>
  <c r="D117"/>
  <c r="D116"/>
  <c r="D115"/>
  <c r="D114"/>
  <c r="D113"/>
  <c r="D112"/>
  <c r="D111"/>
  <c r="D110"/>
  <c r="C124"/>
  <c r="A124"/>
  <c r="C123"/>
  <c r="E123" s="1"/>
  <c r="F123" s="1"/>
  <c r="F30" s="1"/>
  <c r="A123"/>
  <c r="C122"/>
  <c r="A122"/>
  <c r="C121"/>
  <c r="A121"/>
  <c r="C120"/>
  <c r="A120"/>
  <c r="C119"/>
  <c r="A119"/>
  <c r="C118"/>
  <c r="A118"/>
  <c r="C117"/>
  <c r="A117"/>
  <c r="C116"/>
  <c r="A116"/>
  <c r="C115"/>
  <c r="E115" s="1"/>
  <c r="F115" s="1"/>
  <c r="F22" s="1"/>
  <c r="A115"/>
  <c r="C114"/>
  <c r="A114"/>
  <c r="C113"/>
  <c r="A113"/>
  <c r="C112"/>
  <c r="A112"/>
  <c r="C111"/>
  <c r="A111"/>
  <c r="C110"/>
  <c r="A110"/>
  <c r="D30"/>
  <c r="D31"/>
  <c r="E111" l="1"/>
  <c r="F111" s="1"/>
  <c r="F18" s="1"/>
  <c r="E119"/>
  <c r="F119" s="1"/>
  <c r="F26" s="1"/>
  <c r="B126"/>
  <c r="B33" i="37"/>
  <c r="E113" i="35"/>
  <c r="F113" s="1"/>
  <c r="F20" s="1"/>
  <c r="E117"/>
  <c r="F117" s="1"/>
  <c r="F24" s="1"/>
  <c r="E121"/>
  <c r="F121" s="1"/>
  <c r="F28" s="1"/>
  <c r="C126" i="8"/>
  <c r="B123" i="17"/>
  <c r="C126" i="6"/>
  <c r="B126" i="8"/>
  <c r="C124" i="10"/>
  <c r="E110" i="35"/>
  <c r="H110" s="1"/>
  <c r="H17" s="1"/>
  <c r="E112"/>
  <c r="E114"/>
  <c r="E116"/>
  <c r="E118"/>
  <c r="E120"/>
  <c r="E122"/>
  <c r="E124"/>
  <c r="B122" i="9"/>
  <c r="H115" i="35"/>
  <c r="H22" s="1"/>
  <c r="H123"/>
  <c r="H30" s="1"/>
  <c r="C126"/>
  <c r="H111" l="1"/>
  <c r="H18" s="1"/>
  <c r="H119"/>
  <c r="H26" s="1"/>
  <c r="H113"/>
  <c r="H20" s="1"/>
  <c r="H121"/>
  <c r="H28" s="1"/>
  <c r="H117"/>
  <c r="H24" s="1"/>
  <c r="F110"/>
  <c r="F17" s="1"/>
  <c r="E126"/>
  <c r="H126" s="1"/>
  <c r="H33" s="1"/>
  <c r="F124"/>
  <c r="F31" s="1"/>
  <c r="H124"/>
  <c r="H31" s="1"/>
  <c r="F120"/>
  <c r="F27" s="1"/>
  <c r="H120"/>
  <c r="H27" s="1"/>
  <c r="F116"/>
  <c r="F23" s="1"/>
  <c r="H116"/>
  <c r="H23" s="1"/>
  <c r="F112"/>
  <c r="F19" s="1"/>
  <c r="H112"/>
  <c r="H19" s="1"/>
  <c r="F122"/>
  <c r="F29" s="1"/>
  <c r="H122"/>
  <c r="H29" s="1"/>
  <c r="F118"/>
  <c r="F25" s="1"/>
  <c r="H118"/>
  <c r="H25" s="1"/>
  <c r="F114"/>
  <c r="F21" s="1"/>
  <c r="H114"/>
  <c r="H21" s="1"/>
  <c r="F126" l="1"/>
  <c r="F33" s="1"/>
  <c r="B124" i="7"/>
  <c r="B123"/>
  <c r="C122"/>
  <c r="B122"/>
  <c r="C121"/>
  <c r="B121"/>
  <c r="C120"/>
  <c r="B120"/>
  <c r="C119"/>
  <c r="B119"/>
  <c r="C118"/>
  <c r="B118"/>
  <c r="C117"/>
  <c r="B117"/>
  <c r="C116"/>
  <c r="B116"/>
  <c r="C115"/>
  <c r="B115"/>
  <c r="C114"/>
  <c r="B114"/>
  <c r="C113"/>
  <c r="B113"/>
  <c r="C112"/>
  <c r="B112"/>
  <c r="C111"/>
  <c r="B111"/>
  <c r="C110"/>
  <c r="B110"/>
  <c r="E124" i="29"/>
  <c r="E31" s="1"/>
  <c r="D124"/>
  <c r="D31" s="1"/>
  <c r="E123"/>
  <c r="E30" s="1"/>
  <c r="D123"/>
  <c r="D30" s="1"/>
  <c r="E122"/>
  <c r="E29" s="1"/>
  <c r="D122"/>
  <c r="D29" s="1"/>
  <c r="E121"/>
  <c r="E28" s="1"/>
  <c r="D121"/>
  <c r="D28" s="1"/>
  <c r="E120"/>
  <c r="E27" s="1"/>
  <c r="D120"/>
  <c r="D27" s="1"/>
  <c r="E119"/>
  <c r="E26" s="1"/>
  <c r="D119"/>
  <c r="D26" s="1"/>
  <c r="E118"/>
  <c r="E25" s="1"/>
  <c r="D118"/>
  <c r="D25" s="1"/>
  <c r="E117"/>
  <c r="E24" s="1"/>
  <c r="D117"/>
  <c r="D24" s="1"/>
  <c r="E116"/>
  <c r="E23" s="1"/>
  <c r="D116"/>
  <c r="D23" s="1"/>
  <c r="E115"/>
  <c r="E22" s="1"/>
  <c r="D115"/>
  <c r="D22" s="1"/>
  <c r="E114"/>
  <c r="E21" s="1"/>
  <c r="D114"/>
  <c r="D21" s="1"/>
  <c r="E113"/>
  <c r="E20" s="1"/>
  <c r="D113"/>
  <c r="D20" s="1"/>
  <c r="E112"/>
  <c r="E19" s="1"/>
  <c r="D112"/>
  <c r="D19" s="1"/>
  <c r="E111"/>
  <c r="E18" s="1"/>
  <c r="D111"/>
  <c r="D18" s="1"/>
  <c r="E110"/>
  <c r="E17" s="1"/>
  <c r="D110"/>
  <c r="B123"/>
  <c r="B122"/>
  <c r="B121" s="1"/>
  <c r="B120" s="1"/>
  <c r="B119" s="1"/>
  <c r="B118" s="1"/>
  <c r="B117" s="1"/>
  <c r="B116" s="1"/>
  <c r="B115" s="1"/>
  <c r="B114" s="1"/>
  <c r="B113" s="1"/>
  <c r="B112" s="1"/>
  <c r="B111" s="1"/>
  <c r="B110" s="1"/>
  <c r="R121" i="13"/>
  <c r="R120" s="1"/>
  <c r="C107"/>
  <c r="D107" s="1"/>
  <c r="E107" s="1"/>
  <c r="F107" s="1"/>
  <c r="G107" s="1"/>
  <c r="H107" s="1"/>
  <c r="I107" s="1"/>
  <c r="J107" s="1"/>
  <c r="K107" s="1"/>
  <c r="L107" s="1"/>
  <c r="M107" s="1"/>
  <c r="N107" s="1"/>
  <c r="O107" s="1"/>
  <c r="P107" s="1"/>
  <c r="S106"/>
  <c r="T105"/>
  <c r="R118" i="36"/>
  <c r="R117" s="1"/>
  <c r="C104"/>
  <c r="D104" s="1"/>
  <c r="E104" s="1"/>
  <c r="F104" s="1"/>
  <c r="G104" s="1"/>
  <c r="H104" s="1"/>
  <c r="I104" s="1"/>
  <c r="J104" s="1"/>
  <c r="K104" s="1"/>
  <c r="L104" s="1"/>
  <c r="M104" s="1"/>
  <c r="N104" s="1"/>
  <c r="O104" s="1"/>
  <c r="P104" s="1"/>
  <c r="T102"/>
  <c r="A29" i="10"/>
  <c r="A31" i="11"/>
  <c r="A30" s="1"/>
  <c r="A24" i="12"/>
  <c r="A46" i="13"/>
  <c r="A30" i="44" s="1"/>
  <c r="A29" s="1"/>
  <c r="A28" s="1"/>
  <c r="A27" s="1"/>
  <c r="A26" s="1"/>
  <c r="A25" s="1"/>
  <c r="A24" s="1"/>
  <c r="A23" s="1"/>
  <c r="A22" s="1"/>
  <c r="A21" s="1"/>
  <c r="A20" s="1"/>
  <c r="A19" s="1"/>
  <c r="A18" s="1"/>
  <c r="A17" s="1"/>
  <c r="A24" i="15"/>
  <c r="A27" i="30"/>
  <c r="A27" i="31"/>
  <c r="A31" i="16"/>
  <c r="A30" s="1"/>
  <c r="A29" s="1"/>
  <c r="A28" s="1"/>
  <c r="A27" s="1"/>
  <c r="A26" s="1"/>
  <c r="A25" s="1"/>
  <c r="A24" s="1"/>
  <c r="A23" s="1"/>
  <c r="A22" s="1"/>
  <c r="A21" s="1"/>
  <c r="A20" s="1"/>
  <c r="A19" s="1"/>
  <c r="A18" s="1"/>
  <c r="A17" s="1"/>
  <c r="T108" i="5"/>
  <c r="T108" i="4"/>
  <c r="T108" i="3"/>
  <c r="T108" i="2"/>
  <c r="T105" i="1"/>
  <c r="O58"/>
  <c r="O55" i="36" s="1"/>
  <c r="AJ55" s="1"/>
  <c r="AJ56" s="1"/>
  <c r="N58" i="1"/>
  <c r="N55" i="36" s="1"/>
  <c r="AI55" s="1"/>
  <c r="M58" i="1"/>
  <c r="M55" i="36" s="1"/>
  <c r="AH55" s="1"/>
  <c r="L58" i="1"/>
  <c r="L55" i="36" s="1"/>
  <c r="AG55" s="1"/>
  <c r="K58" i="1"/>
  <c r="K55" i="36" s="1"/>
  <c r="AF55" s="1"/>
  <c r="J58" i="1"/>
  <c r="J55" i="36" s="1"/>
  <c r="AE55" s="1"/>
  <c r="I58" i="1"/>
  <c r="I55" i="36" s="1"/>
  <c r="AD55" s="1"/>
  <c r="H58" i="1"/>
  <c r="H55" i="36" s="1"/>
  <c r="AC55" s="1"/>
  <c r="G58" i="1"/>
  <c r="G55" i="36" s="1"/>
  <c r="AB55" s="1"/>
  <c r="F58" i="1"/>
  <c r="F55" i="36" s="1"/>
  <c r="AA55" s="1"/>
  <c r="E58" i="1"/>
  <c r="E55" i="36" s="1"/>
  <c r="Z55" s="1"/>
  <c r="D58" i="1"/>
  <c r="D55" i="36" s="1"/>
  <c r="Y55" s="1"/>
  <c r="C58" i="1"/>
  <c r="C55" i="36" s="1"/>
  <c r="X55" s="1"/>
  <c r="B58" i="1"/>
  <c r="B55" i="36" s="1"/>
  <c r="W55" s="1"/>
  <c r="R124" i="3"/>
  <c r="R123" s="1"/>
  <c r="R122" s="1"/>
  <c r="R121" s="1"/>
  <c r="R120" s="1"/>
  <c r="R119" s="1"/>
  <c r="R118" s="1"/>
  <c r="R117" s="1"/>
  <c r="R116" s="1"/>
  <c r="R115" s="1"/>
  <c r="R114" s="1"/>
  <c r="R113" s="1"/>
  <c r="R112" s="1"/>
  <c r="R111" s="1"/>
  <c r="C110"/>
  <c r="D110" s="1"/>
  <c r="E110" s="1"/>
  <c r="F110" s="1"/>
  <c r="G110" s="1"/>
  <c r="H110" s="1"/>
  <c r="I110" s="1"/>
  <c r="J110" s="1"/>
  <c r="K110" s="1"/>
  <c r="L110" s="1"/>
  <c r="M110" s="1"/>
  <c r="N110" s="1"/>
  <c r="O110" s="1"/>
  <c r="P110" s="1"/>
  <c r="R124" i="4"/>
  <c r="R123" s="1"/>
  <c r="R122" s="1"/>
  <c r="R121" s="1"/>
  <c r="R120" s="1"/>
  <c r="R119" s="1"/>
  <c r="R118" s="1"/>
  <c r="R117" s="1"/>
  <c r="R116" s="1"/>
  <c r="R115" s="1"/>
  <c r="R114" s="1"/>
  <c r="R113" s="1"/>
  <c r="R112" s="1"/>
  <c r="R111" s="1"/>
  <c r="C110"/>
  <c r="D110" s="1"/>
  <c r="E110" s="1"/>
  <c r="F110" s="1"/>
  <c r="G110" s="1"/>
  <c r="H110" s="1"/>
  <c r="I110" s="1"/>
  <c r="J110" s="1"/>
  <c r="K110" s="1"/>
  <c r="L110" s="1"/>
  <c r="M110" s="1"/>
  <c r="N110" s="1"/>
  <c r="O110" s="1"/>
  <c r="P110" s="1"/>
  <c r="R124" i="5"/>
  <c r="R123" s="1"/>
  <c r="R122" s="1"/>
  <c r="R121" s="1"/>
  <c r="R120" s="1"/>
  <c r="R119" s="1"/>
  <c r="R118" s="1"/>
  <c r="R117" s="1"/>
  <c r="R116" s="1"/>
  <c r="R115" s="1"/>
  <c r="R114" s="1"/>
  <c r="R113" s="1"/>
  <c r="R112" s="1"/>
  <c r="R111" s="1"/>
  <c r="C110"/>
  <c r="D110" s="1"/>
  <c r="E110" s="1"/>
  <c r="F110" s="1"/>
  <c r="G110" s="1"/>
  <c r="H110" s="1"/>
  <c r="I110" s="1"/>
  <c r="J110" s="1"/>
  <c r="K110" s="1"/>
  <c r="L110" s="1"/>
  <c r="M110" s="1"/>
  <c r="N110" s="1"/>
  <c r="O110" s="1"/>
  <c r="P110" s="1"/>
  <c r="R124" i="2"/>
  <c r="R123" s="1"/>
  <c r="R122" s="1"/>
  <c r="R121" s="1"/>
  <c r="R120" s="1"/>
  <c r="R119" s="1"/>
  <c r="R118" s="1"/>
  <c r="R117" s="1"/>
  <c r="R116" s="1"/>
  <c r="R115" s="1"/>
  <c r="R114" s="1"/>
  <c r="R113" s="1"/>
  <c r="R112" s="1"/>
  <c r="R111" s="1"/>
  <c r="C110"/>
  <c r="D110" s="1"/>
  <c r="E110" s="1"/>
  <c r="F110" s="1"/>
  <c r="G110" s="1"/>
  <c r="H110" s="1"/>
  <c r="I110" s="1"/>
  <c r="J110" s="1"/>
  <c r="K110" s="1"/>
  <c r="L110" s="1"/>
  <c r="M110" s="1"/>
  <c r="N110" s="1"/>
  <c r="O110" s="1"/>
  <c r="P110" s="1"/>
  <c r="C107" i="1"/>
  <c r="D107" s="1"/>
  <c r="R121"/>
  <c r="R120" s="1"/>
  <c r="R119" s="1"/>
  <c r="R118" s="1"/>
  <c r="R117" s="1"/>
  <c r="R116" s="1"/>
  <c r="R115" s="1"/>
  <c r="R114" s="1"/>
  <c r="R113" s="1"/>
  <c r="R112" s="1"/>
  <c r="R111" s="1"/>
  <c r="R110" s="1"/>
  <c r="R109" s="1"/>
  <c r="R108" s="1"/>
  <c r="B54" i="3"/>
  <c r="F124" i="29" l="1"/>
  <c r="F31" s="1"/>
  <c r="AI56" i="36"/>
  <c r="AH56" s="1"/>
  <c r="AG56" s="1"/>
  <c r="AF56" s="1"/>
  <c r="AE56" s="1"/>
  <c r="AD56" s="1"/>
  <c r="AC56" s="1"/>
  <c r="AB56" s="1"/>
  <c r="AA56" s="1"/>
  <c r="Z56" s="1"/>
  <c r="Y56" s="1"/>
  <c r="X56" s="1"/>
  <c r="W56" s="1"/>
  <c r="D126" i="29"/>
  <c r="D33" s="1"/>
  <c r="G18" i="11"/>
  <c r="G111"/>
  <c r="G19"/>
  <c r="G112"/>
  <c r="G20"/>
  <c r="G113"/>
  <c r="G21"/>
  <c r="G114"/>
  <c r="G22"/>
  <c r="G115"/>
  <c r="G23"/>
  <c r="G116"/>
  <c r="G24"/>
  <c r="G117"/>
  <c r="G25"/>
  <c r="G118"/>
  <c r="G26"/>
  <c r="G119"/>
  <c r="G27"/>
  <c r="G120"/>
  <c r="G28"/>
  <c r="G121"/>
  <c r="G29"/>
  <c r="G122"/>
  <c r="G30"/>
  <c r="G123"/>
  <c r="G31"/>
  <c r="G124"/>
  <c r="D17" i="29"/>
  <c r="H124"/>
  <c r="F111"/>
  <c r="F112"/>
  <c r="F19" s="1"/>
  <c r="F113"/>
  <c r="F114"/>
  <c r="F115"/>
  <c r="F116"/>
  <c r="F117"/>
  <c r="F118"/>
  <c r="F119"/>
  <c r="F120"/>
  <c r="F121"/>
  <c r="F122"/>
  <c r="F123"/>
  <c r="F30" s="1"/>
  <c r="F110"/>
  <c r="R119" i="13"/>
  <c r="R116" i="36"/>
  <c r="E107" i="1"/>
  <c r="F107" s="1"/>
  <c r="G107" s="1"/>
  <c r="I107" l="1"/>
  <c r="J107" s="1"/>
  <c r="K107" s="1"/>
  <c r="L107" s="1"/>
  <c r="M107" s="1"/>
  <c r="N107" s="1"/>
  <c r="O107" s="1"/>
  <c r="P107" s="1"/>
  <c r="H107"/>
  <c r="D123" i="39"/>
  <c r="F123" s="1"/>
  <c r="D30"/>
  <c r="F30" s="1"/>
  <c r="D112"/>
  <c r="F112" s="1"/>
  <c r="D19"/>
  <c r="F19" s="1"/>
  <c r="D124"/>
  <c r="F124" s="1"/>
  <c r="D31"/>
  <c r="F31" s="1"/>
  <c r="D119" i="9"/>
  <c r="F119" s="1"/>
  <c r="G30" i="16"/>
  <c r="D120" i="9"/>
  <c r="F120" s="1"/>
  <c r="G31" i="16"/>
  <c r="D108" i="9"/>
  <c r="F108" s="1"/>
  <c r="G19" i="16"/>
  <c r="G17" i="11"/>
  <c r="G33" s="1"/>
  <c r="G110"/>
  <c r="F28" i="29"/>
  <c r="F26"/>
  <c r="F24"/>
  <c r="F22"/>
  <c r="F20"/>
  <c r="F18"/>
  <c r="H123"/>
  <c r="H121"/>
  <c r="H119"/>
  <c r="H117"/>
  <c r="H115"/>
  <c r="H113"/>
  <c r="F17"/>
  <c r="F29"/>
  <c r="F27"/>
  <c r="F25"/>
  <c r="F23"/>
  <c r="F21"/>
  <c r="H122"/>
  <c r="H120"/>
  <c r="H118"/>
  <c r="H116"/>
  <c r="H114"/>
  <c r="H112"/>
  <c r="H19" s="1"/>
  <c r="H111"/>
  <c r="H18" s="1"/>
  <c r="F126"/>
  <c r="F33" s="1"/>
  <c r="R118" i="13"/>
  <c r="R115" i="36"/>
  <c r="D116" i="39" l="1"/>
  <c r="F116" s="1"/>
  <c r="D23"/>
  <c r="F23" s="1"/>
  <c r="D120"/>
  <c r="F120" s="1"/>
  <c r="D27"/>
  <c r="F27" s="1"/>
  <c r="D110"/>
  <c r="D17"/>
  <c r="D113"/>
  <c r="F113" s="1"/>
  <c r="D20"/>
  <c r="F20" s="1"/>
  <c r="D117"/>
  <c r="F117" s="1"/>
  <c r="D24"/>
  <c r="F24" s="1"/>
  <c r="D121"/>
  <c r="F121" s="1"/>
  <c r="D28"/>
  <c r="F28" s="1"/>
  <c r="D114"/>
  <c r="F114" s="1"/>
  <c r="D21"/>
  <c r="F21" s="1"/>
  <c r="D118"/>
  <c r="F118" s="1"/>
  <c r="D25"/>
  <c r="F25" s="1"/>
  <c r="D122"/>
  <c r="F122" s="1"/>
  <c r="D29"/>
  <c r="F29" s="1"/>
  <c r="D29" i="9"/>
  <c r="D111" i="39"/>
  <c r="F111" s="1"/>
  <c r="D18"/>
  <c r="F18" s="1"/>
  <c r="D115"/>
  <c r="F115" s="1"/>
  <c r="D22"/>
  <c r="F22" s="1"/>
  <c r="D119"/>
  <c r="F119" s="1"/>
  <c r="D26"/>
  <c r="F26" s="1"/>
  <c r="D111" i="9"/>
  <c r="F111" s="1"/>
  <c r="G22" i="16"/>
  <c r="D106" i="9"/>
  <c r="F106" s="1"/>
  <c r="G17" i="16"/>
  <c r="D109" i="9"/>
  <c r="G20" i="16"/>
  <c r="D118" i="9"/>
  <c r="F118" s="1"/>
  <c r="G29" i="16"/>
  <c r="D107" i="9"/>
  <c r="F107" s="1"/>
  <c r="G18" i="16"/>
  <c r="D116" i="9"/>
  <c r="G27" i="16"/>
  <c r="D114" i="9"/>
  <c r="F114" s="1"/>
  <c r="G25" i="16"/>
  <c r="D117" i="9"/>
  <c r="F117" s="1"/>
  <c r="G28" i="16"/>
  <c r="D110" i="9"/>
  <c r="F110" s="1"/>
  <c r="G21" i="16"/>
  <c r="D115" i="9"/>
  <c r="F115" s="1"/>
  <c r="G26" i="16"/>
  <c r="D112" i="9"/>
  <c r="F112" s="1"/>
  <c r="G23" i="16"/>
  <c r="D113" i="9"/>
  <c r="F113" s="1"/>
  <c r="G24" i="16"/>
  <c r="F116" i="9"/>
  <c r="F109"/>
  <c r="G126" i="11"/>
  <c r="R117" i="13"/>
  <c r="R114" i="36"/>
  <c r="F17" i="39" l="1"/>
  <c r="D33"/>
  <c r="F33" s="1"/>
  <c r="F35"/>
  <c r="F110"/>
  <c r="D126"/>
  <c r="F126" s="1"/>
  <c r="D122" i="9"/>
  <c r="F122" s="1"/>
  <c r="R116" i="13"/>
  <c r="R113" i="36"/>
  <c r="R115" i="13" l="1"/>
  <c r="R112" i="36"/>
  <c r="R114" i="13" l="1"/>
  <c r="R111" i="36"/>
  <c r="R113" i="13" l="1"/>
  <c r="R110" i="36"/>
  <c r="R112" i="13" l="1"/>
  <c r="R109" i="36"/>
  <c r="R111" i="13" l="1"/>
  <c r="R108" i="36"/>
  <c r="R110" i="13" l="1"/>
  <c r="R107" i="36"/>
  <c r="R109" i="13" l="1"/>
  <c r="R106" i="36"/>
  <c r="R108" i="13" l="1"/>
  <c r="R105" i="36"/>
  <c r="D39" i="3" l="1"/>
  <c r="D53" i="1"/>
  <c r="D52"/>
  <c r="D51"/>
  <c r="B32"/>
  <c r="A31" i="32"/>
  <c r="A30" s="1"/>
  <c r="A3"/>
  <c r="A2"/>
  <c r="A43"/>
  <c r="G14"/>
  <c r="D11"/>
  <c r="A29" l="1"/>
  <c r="A58"/>
  <c r="A59"/>
  <c r="A28" l="1"/>
  <c r="A57"/>
  <c r="A56" l="1"/>
  <c r="A27"/>
  <c r="A55" l="1"/>
  <c r="A26"/>
  <c r="A54" l="1"/>
  <c r="A25"/>
  <c r="A53" l="1"/>
  <c r="A24"/>
  <c r="A23" l="1"/>
  <c r="A52"/>
  <c r="A51" l="1"/>
  <c r="A22"/>
  <c r="A50" l="1"/>
  <c r="A21"/>
  <c r="A49" l="1"/>
  <c r="A20"/>
  <c r="A19" l="1"/>
  <c r="A48"/>
  <c r="A47" l="1"/>
  <c r="A18"/>
  <c r="A46" l="1"/>
  <c r="A17"/>
  <c r="A45" s="1"/>
  <c r="P105" i="36" l="1"/>
  <c r="T105" s="1"/>
  <c r="O53"/>
  <c r="N53"/>
  <c r="M53"/>
  <c r="L53"/>
  <c r="K53"/>
  <c r="J53"/>
  <c r="I53"/>
  <c r="H53"/>
  <c r="G53"/>
  <c r="F53"/>
  <c r="E53"/>
  <c r="D53"/>
  <c r="C53"/>
  <c r="B53"/>
  <c r="L52"/>
  <c r="K52"/>
  <c r="J52"/>
  <c r="I52"/>
  <c r="H52"/>
  <c r="G52"/>
  <c r="F52"/>
  <c r="E52"/>
  <c r="D52"/>
  <c r="C52"/>
  <c r="B52"/>
  <c r="N51"/>
  <c r="M51"/>
  <c r="L51"/>
  <c r="K51"/>
  <c r="J51"/>
  <c r="I51"/>
  <c r="H51"/>
  <c r="G51"/>
  <c r="F51"/>
  <c r="E51"/>
  <c r="D51"/>
  <c r="C51"/>
  <c r="B51"/>
  <c r="B42"/>
  <c r="C41"/>
  <c r="B41"/>
  <c r="D40"/>
  <c r="C40"/>
  <c r="B40"/>
  <c r="E39"/>
  <c r="D39"/>
  <c r="C39"/>
  <c r="B39"/>
  <c r="F38"/>
  <c r="E38"/>
  <c r="D38"/>
  <c r="D46" s="1"/>
  <c r="C38"/>
  <c r="B38"/>
  <c r="G37"/>
  <c r="F37"/>
  <c r="E37"/>
  <c r="E46" s="1"/>
  <c r="D37"/>
  <c r="C37"/>
  <c r="B37"/>
  <c r="H36"/>
  <c r="G36"/>
  <c r="F36"/>
  <c r="E36"/>
  <c r="D36"/>
  <c r="D48" s="1"/>
  <c r="C36"/>
  <c r="B36"/>
  <c r="I35"/>
  <c r="H35"/>
  <c r="G35"/>
  <c r="G46" s="1"/>
  <c r="F35"/>
  <c r="E35"/>
  <c r="D35"/>
  <c r="C35"/>
  <c r="B35"/>
  <c r="J34"/>
  <c r="I34"/>
  <c r="H34"/>
  <c r="H46" s="1"/>
  <c r="G34"/>
  <c r="F34"/>
  <c r="E34"/>
  <c r="D34"/>
  <c r="C34"/>
  <c r="B34"/>
  <c r="K33"/>
  <c r="J33"/>
  <c r="I33"/>
  <c r="H33"/>
  <c r="G33"/>
  <c r="G47" s="1"/>
  <c r="F33"/>
  <c r="E33"/>
  <c r="D33"/>
  <c r="C33"/>
  <c r="B33"/>
  <c r="L32"/>
  <c r="K32"/>
  <c r="J32"/>
  <c r="J46" s="1"/>
  <c r="I32"/>
  <c r="H32"/>
  <c r="H48" s="1"/>
  <c r="G32"/>
  <c r="F32"/>
  <c r="E32"/>
  <c r="D32"/>
  <c r="C32"/>
  <c r="B32"/>
  <c r="M31"/>
  <c r="L31"/>
  <c r="K31"/>
  <c r="K46" s="1"/>
  <c r="J31"/>
  <c r="I31"/>
  <c r="H31"/>
  <c r="G31"/>
  <c r="F31"/>
  <c r="E31"/>
  <c r="D31"/>
  <c r="C31"/>
  <c r="B31"/>
  <c r="N30"/>
  <c r="M30"/>
  <c r="L30"/>
  <c r="K30"/>
  <c r="J30"/>
  <c r="I30"/>
  <c r="H30"/>
  <c r="G30"/>
  <c r="F30"/>
  <c r="E30"/>
  <c r="D30"/>
  <c r="C30"/>
  <c r="B30"/>
  <c r="O29"/>
  <c r="O49" s="1"/>
  <c r="N29"/>
  <c r="N49" s="1"/>
  <c r="M29"/>
  <c r="L29"/>
  <c r="L48" s="1"/>
  <c r="K29"/>
  <c r="J29"/>
  <c r="I29"/>
  <c r="I49" s="1"/>
  <c r="H29"/>
  <c r="G29"/>
  <c r="F29"/>
  <c r="E29"/>
  <c r="D29"/>
  <c r="C29"/>
  <c r="B29"/>
  <c r="A26"/>
  <c r="S119"/>
  <c r="A24"/>
  <c r="A43" s="1"/>
  <c r="S118"/>
  <c r="S117"/>
  <c r="S116"/>
  <c r="S115"/>
  <c r="S114"/>
  <c r="S113"/>
  <c r="S112"/>
  <c r="S111"/>
  <c r="S110"/>
  <c r="S109"/>
  <c r="S108"/>
  <c r="S107"/>
  <c r="S106"/>
  <c r="S105"/>
  <c r="S103"/>
  <c r="B8"/>
  <c r="C8" s="1"/>
  <c r="D8" s="1"/>
  <c r="E8" s="1"/>
  <c r="F8" s="1"/>
  <c r="G8" s="1"/>
  <c r="H8" s="1"/>
  <c r="I8" s="1"/>
  <c r="J8" s="1"/>
  <c r="K8" s="1"/>
  <c r="L8" s="1"/>
  <c r="M8" s="1"/>
  <c r="N8" s="1"/>
  <c r="O8" s="1"/>
  <c r="P8" s="1"/>
  <c r="A3" i="3"/>
  <c r="A2"/>
  <c r="A3" i="4"/>
  <c r="A2"/>
  <c r="A3" i="5"/>
  <c r="A2"/>
  <c r="A3" i="6"/>
  <c r="A2"/>
  <c r="A3" i="29"/>
  <c r="A2"/>
  <c r="A3" i="7"/>
  <c r="A2"/>
  <c r="A3" i="35"/>
  <c r="A2"/>
  <c r="A3" i="8"/>
  <c r="A2"/>
  <c r="A3" i="9"/>
  <c r="A2"/>
  <c r="A3" i="10"/>
  <c r="A2"/>
  <c r="A3" i="11"/>
  <c r="A2"/>
  <c r="A3" i="12"/>
  <c r="A2"/>
  <c r="A3" i="13"/>
  <c r="A2"/>
  <c r="A3" i="14"/>
  <c r="A2"/>
  <c r="A3" i="15"/>
  <c r="A2"/>
  <c r="A3" i="30"/>
  <c r="A2"/>
  <c r="A3" i="31"/>
  <c r="A2"/>
  <c r="A3" i="16"/>
  <c r="A2"/>
  <c r="A3" i="17"/>
  <c r="A2"/>
  <c r="A3" i="18"/>
  <c r="A2"/>
  <c r="A3" i="2"/>
  <c r="A2"/>
  <c r="A2" i="1"/>
  <c r="D17" i="35"/>
  <c r="S125" i="5"/>
  <c r="S124"/>
  <c r="S123"/>
  <c r="S122"/>
  <c r="S121"/>
  <c r="S120"/>
  <c r="S119"/>
  <c r="S118"/>
  <c r="S117"/>
  <c r="S116"/>
  <c r="S115"/>
  <c r="S114"/>
  <c r="S113"/>
  <c r="S112"/>
  <c r="S111"/>
  <c r="S109"/>
  <c r="S125" i="3"/>
  <c r="C124" i="7" s="1"/>
  <c r="S124" i="3"/>
  <c r="C123" i="7" s="1"/>
  <c r="S123" i="3"/>
  <c r="S122"/>
  <c r="S121"/>
  <c r="S120"/>
  <c r="S119"/>
  <c r="S118"/>
  <c r="S117"/>
  <c r="S116"/>
  <c r="S115"/>
  <c r="S114"/>
  <c r="S113"/>
  <c r="S112"/>
  <c r="S111"/>
  <c r="S109"/>
  <c r="S125" i="2"/>
  <c r="S124"/>
  <c r="S123"/>
  <c r="S122"/>
  <c r="S121"/>
  <c r="S120"/>
  <c r="S119"/>
  <c r="S118"/>
  <c r="S117"/>
  <c r="S116"/>
  <c r="S115"/>
  <c r="S114"/>
  <c r="S113"/>
  <c r="S112"/>
  <c r="S111"/>
  <c r="S109"/>
  <c r="S122" i="1"/>
  <c r="S121"/>
  <c r="S120"/>
  <c r="S119"/>
  <c r="S118"/>
  <c r="S117"/>
  <c r="S116"/>
  <c r="S115"/>
  <c r="S114"/>
  <c r="S113"/>
  <c r="S112"/>
  <c r="S111"/>
  <c r="S110"/>
  <c r="S109"/>
  <c r="S108"/>
  <c r="S106"/>
  <c r="S109" i="4"/>
  <c r="S125"/>
  <c r="C31" i="35" s="1"/>
  <c r="S124" i="4"/>
  <c r="C30" i="35" s="1"/>
  <c r="S123" i="4"/>
  <c r="C29" i="35" s="1"/>
  <c r="S122" i="4"/>
  <c r="C28" i="35" s="1"/>
  <c r="S121" i="4"/>
  <c r="C27" i="35" s="1"/>
  <c r="S120" i="4"/>
  <c r="C26" i="35" s="1"/>
  <c r="S119" i="4"/>
  <c r="C25" i="35" s="1"/>
  <c r="S118" i="4"/>
  <c r="C24" i="35" s="1"/>
  <c r="S117" i="4"/>
  <c r="C23" i="35" s="1"/>
  <c r="S116" i="4"/>
  <c r="C22" i="35" s="1"/>
  <c r="S115" i="4"/>
  <c r="C21" i="35" s="1"/>
  <c r="S114" i="4"/>
  <c r="C20" i="35" s="1"/>
  <c r="S113" i="4"/>
  <c r="C19" i="35" s="1"/>
  <c r="S112" i="4"/>
  <c r="C18" i="35" s="1"/>
  <c r="S111" i="4"/>
  <c r="C17" i="35" s="1"/>
  <c r="E17" s="1"/>
  <c r="H31" i="29"/>
  <c r="H30"/>
  <c r="H29"/>
  <c r="H28"/>
  <c r="H27"/>
  <c r="H26"/>
  <c r="H25"/>
  <c r="H24"/>
  <c r="H23"/>
  <c r="H22"/>
  <c r="H21"/>
  <c r="H20"/>
  <c r="A28" i="17"/>
  <c r="A27" s="1"/>
  <c r="A26" s="1"/>
  <c r="A25" s="1"/>
  <c r="A24" s="1"/>
  <c r="A23" s="1"/>
  <c r="A22" s="1"/>
  <c r="A21" s="1"/>
  <c r="A20" s="1"/>
  <c r="A19" s="1"/>
  <c r="A18" s="1"/>
  <c r="A17" s="1"/>
  <c r="A16" s="1"/>
  <c r="A15" s="1"/>
  <c r="A14" s="1"/>
  <c r="A27" i="18"/>
  <c r="A26" s="1"/>
  <c r="A25" s="1"/>
  <c r="A24" s="1"/>
  <c r="A23" s="1"/>
  <c r="A22" s="1"/>
  <c r="A21" s="1"/>
  <c r="A20" s="1"/>
  <c r="A19" s="1"/>
  <c r="A18" s="1"/>
  <c r="A17" s="1"/>
  <c r="A16" s="1"/>
  <c r="A15" s="1"/>
  <c r="A14" s="1"/>
  <c r="A13" s="1"/>
  <c r="A29"/>
  <c r="C27"/>
  <c r="C26"/>
  <c r="C25"/>
  <c r="C24"/>
  <c r="C23"/>
  <c r="C22"/>
  <c r="C21"/>
  <c r="C20"/>
  <c r="C19"/>
  <c r="E19" s="1"/>
  <c r="C18"/>
  <c r="C17"/>
  <c r="C16"/>
  <c r="C15"/>
  <c r="C14"/>
  <c r="C13"/>
  <c r="F11"/>
  <c r="G10" s="1"/>
  <c r="E11"/>
  <c r="C11"/>
  <c r="A10"/>
  <c r="E9"/>
  <c r="A30" i="17"/>
  <c r="H12"/>
  <c r="F12"/>
  <c r="E12"/>
  <c r="D12"/>
  <c r="C12"/>
  <c r="H11"/>
  <c r="A11"/>
  <c r="E31" i="16"/>
  <c r="C31"/>
  <c r="A59"/>
  <c r="G58"/>
  <c r="E30"/>
  <c r="C30"/>
  <c r="A58"/>
  <c r="G57"/>
  <c r="E29"/>
  <c r="C29"/>
  <c r="A57"/>
  <c r="G56"/>
  <c r="E28"/>
  <c r="C28"/>
  <c r="A56"/>
  <c r="G55"/>
  <c r="E27"/>
  <c r="C27"/>
  <c r="A55"/>
  <c r="G54"/>
  <c r="E26"/>
  <c r="C26"/>
  <c r="A54"/>
  <c r="G53"/>
  <c r="E25"/>
  <c r="C25"/>
  <c r="A53"/>
  <c r="G52"/>
  <c r="E24"/>
  <c r="C24"/>
  <c r="A52"/>
  <c r="G51"/>
  <c r="E23"/>
  <c r="C23"/>
  <c r="A51"/>
  <c r="G50"/>
  <c r="E22"/>
  <c r="C22"/>
  <c r="A50"/>
  <c r="G49"/>
  <c r="E21"/>
  <c r="C21"/>
  <c r="A49"/>
  <c r="G48"/>
  <c r="E20"/>
  <c r="C20"/>
  <c r="A48"/>
  <c r="G47"/>
  <c r="E19"/>
  <c r="C19"/>
  <c r="A47"/>
  <c r="G46"/>
  <c r="E18"/>
  <c r="C18"/>
  <c r="A46"/>
  <c r="E17"/>
  <c r="C17"/>
  <c r="A45"/>
  <c r="E15"/>
  <c r="A43"/>
  <c r="L14"/>
  <c r="F11"/>
  <c r="A26" i="30"/>
  <c r="A25" s="1"/>
  <c r="A24" s="1"/>
  <c r="A23" s="1"/>
  <c r="A22" s="1"/>
  <c r="A21" s="1"/>
  <c r="A20" s="1"/>
  <c r="A19" s="1"/>
  <c r="A18" s="1"/>
  <c r="A17" s="1"/>
  <c r="A16" s="1"/>
  <c r="A15" s="1"/>
  <c r="A14" s="1"/>
  <c r="A13" s="1"/>
  <c r="C11"/>
  <c r="D11" s="1"/>
  <c r="E11" s="1"/>
  <c r="F11" s="1"/>
  <c r="G11" s="1"/>
  <c r="H11" s="1"/>
  <c r="I11" s="1"/>
  <c r="J11" s="1"/>
  <c r="K11" s="1"/>
  <c r="L11" s="1"/>
  <c r="M11" s="1"/>
  <c r="N11" s="1"/>
  <c r="O11" s="1"/>
  <c r="P11" s="1"/>
  <c r="A10"/>
  <c r="B148" i="31"/>
  <c r="C147"/>
  <c r="B147"/>
  <c r="D146"/>
  <c r="C146"/>
  <c r="B146"/>
  <c r="E145"/>
  <c r="D145"/>
  <c r="C145"/>
  <c r="B145"/>
  <c r="F144"/>
  <c r="E144"/>
  <c r="D144"/>
  <c r="C144"/>
  <c r="B144"/>
  <c r="G143"/>
  <c r="F143"/>
  <c r="E143"/>
  <c r="D143"/>
  <c r="C143"/>
  <c r="B143"/>
  <c r="H142"/>
  <c r="G142"/>
  <c r="F142"/>
  <c r="E142"/>
  <c r="D142"/>
  <c r="C142"/>
  <c r="B142"/>
  <c r="I141"/>
  <c r="H141"/>
  <c r="G141"/>
  <c r="F141"/>
  <c r="E141"/>
  <c r="D141"/>
  <c r="C141"/>
  <c r="B141"/>
  <c r="J140"/>
  <c r="I140"/>
  <c r="H140"/>
  <c r="G140"/>
  <c r="F140"/>
  <c r="E140"/>
  <c r="D140"/>
  <c r="C140"/>
  <c r="B140"/>
  <c r="K139"/>
  <c r="J139"/>
  <c r="I139"/>
  <c r="H139"/>
  <c r="G139"/>
  <c r="F139"/>
  <c r="E139"/>
  <c r="D139"/>
  <c r="C139"/>
  <c r="B139"/>
  <c r="L138"/>
  <c r="K138"/>
  <c r="J138"/>
  <c r="I138"/>
  <c r="H138"/>
  <c r="G138"/>
  <c r="F138"/>
  <c r="E138"/>
  <c r="D138"/>
  <c r="C138"/>
  <c r="B138"/>
  <c r="M137"/>
  <c r="L137"/>
  <c r="K137"/>
  <c r="J137"/>
  <c r="I137"/>
  <c r="H137"/>
  <c r="G137"/>
  <c r="F137"/>
  <c r="E137"/>
  <c r="D137"/>
  <c r="C137"/>
  <c r="B137"/>
  <c r="N136"/>
  <c r="M136"/>
  <c r="L136"/>
  <c r="K136"/>
  <c r="J136"/>
  <c r="I136"/>
  <c r="H136"/>
  <c r="G136"/>
  <c r="F136"/>
  <c r="E136"/>
  <c r="D136"/>
  <c r="C136"/>
  <c r="B136"/>
  <c r="O135"/>
  <c r="N135"/>
  <c r="M135"/>
  <c r="L135"/>
  <c r="K135"/>
  <c r="J135"/>
  <c r="I135"/>
  <c r="H135"/>
  <c r="G135"/>
  <c r="F135"/>
  <c r="E135"/>
  <c r="D135"/>
  <c r="C135"/>
  <c r="B135"/>
  <c r="P134"/>
  <c r="O134"/>
  <c r="N134"/>
  <c r="M134"/>
  <c r="L134"/>
  <c r="K134"/>
  <c r="J134"/>
  <c r="I134"/>
  <c r="H134"/>
  <c r="G134"/>
  <c r="F134"/>
  <c r="E134"/>
  <c r="D134"/>
  <c r="C134"/>
  <c r="B134"/>
  <c r="C59"/>
  <c r="D59" s="1"/>
  <c r="E59" s="1"/>
  <c r="F59" s="1"/>
  <c r="G59" s="1"/>
  <c r="H59" s="1"/>
  <c r="I59" s="1"/>
  <c r="J59" s="1"/>
  <c r="K59" s="1"/>
  <c r="L59" s="1"/>
  <c r="M59" s="1"/>
  <c r="N59" s="1"/>
  <c r="O59" s="1"/>
  <c r="P59" s="1"/>
  <c r="A58"/>
  <c r="C35"/>
  <c r="D35" s="1"/>
  <c r="E35" s="1"/>
  <c r="F35" s="1"/>
  <c r="G35" s="1"/>
  <c r="H35" s="1"/>
  <c r="I35" s="1"/>
  <c r="J35" s="1"/>
  <c r="K35" s="1"/>
  <c r="L35" s="1"/>
  <c r="M35" s="1"/>
  <c r="N35" s="1"/>
  <c r="O35" s="1"/>
  <c r="P35" s="1"/>
  <c r="A34"/>
  <c r="S27"/>
  <c r="A75"/>
  <c r="T26"/>
  <c r="S26"/>
  <c r="U25"/>
  <c r="T25"/>
  <c r="S25"/>
  <c r="V24"/>
  <c r="U24"/>
  <c r="T24"/>
  <c r="S24"/>
  <c r="W23"/>
  <c r="V23"/>
  <c r="U23"/>
  <c r="T23"/>
  <c r="S23"/>
  <c r="X22"/>
  <c r="W22"/>
  <c r="V22"/>
  <c r="U22"/>
  <c r="T22"/>
  <c r="S22"/>
  <c r="Y21"/>
  <c r="X21"/>
  <c r="W21"/>
  <c r="V21"/>
  <c r="U21"/>
  <c r="T21"/>
  <c r="S21"/>
  <c r="Z20"/>
  <c r="Y20"/>
  <c r="X20"/>
  <c r="W20"/>
  <c r="V20"/>
  <c r="U20"/>
  <c r="T20"/>
  <c r="S20"/>
  <c r="AA19"/>
  <c r="Z19"/>
  <c r="Y19"/>
  <c r="X19"/>
  <c r="W19"/>
  <c r="V19"/>
  <c r="U19"/>
  <c r="T19"/>
  <c r="S19"/>
  <c r="AB18"/>
  <c r="AA18"/>
  <c r="Z18"/>
  <c r="Y18"/>
  <c r="X18"/>
  <c r="W18"/>
  <c r="V18"/>
  <c r="U18"/>
  <c r="T18"/>
  <c r="S18"/>
  <c r="AC17"/>
  <c r="AB17"/>
  <c r="AA17"/>
  <c r="Z17"/>
  <c r="Y17"/>
  <c r="X17"/>
  <c r="W17"/>
  <c r="V17"/>
  <c r="U17"/>
  <c r="T17"/>
  <c r="S17"/>
  <c r="AD16"/>
  <c r="AC16"/>
  <c r="AB16"/>
  <c r="AA16"/>
  <c r="Z16"/>
  <c r="Y16"/>
  <c r="X16"/>
  <c r="W16"/>
  <c r="V16"/>
  <c r="U16"/>
  <c r="T16"/>
  <c r="S16"/>
  <c r="AE15"/>
  <c r="AD15"/>
  <c r="AC15"/>
  <c r="AB15"/>
  <c r="AA15"/>
  <c r="Z15"/>
  <c r="Y15"/>
  <c r="X15"/>
  <c r="W15"/>
  <c r="V15"/>
  <c r="U15"/>
  <c r="T15"/>
  <c r="S15"/>
  <c r="AF14"/>
  <c r="AE14"/>
  <c r="AD14"/>
  <c r="AC14"/>
  <c r="AB14"/>
  <c r="AA14"/>
  <c r="Z14"/>
  <c r="Y14"/>
  <c r="X14"/>
  <c r="W14"/>
  <c r="V14"/>
  <c r="U14"/>
  <c r="T14"/>
  <c r="S14"/>
  <c r="AG13"/>
  <c r="AF13"/>
  <c r="AE13"/>
  <c r="AD13"/>
  <c r="AC13"/>
  <c r="AB13"/>
  <c r="AA13"/>
  <c r="Z13"/>
  <c r="Y13"/>
  <c r="X13"/>
  <c r="W13"/>
  <c r="V13"/>
  <c r="U13"/>
  <c r="T13"/>
  <c r="S13"/>
  <c r="C11"/>
  <c r="D11" s="1"/>
  <c r="E11" s="1"/>
  <c r="F11" s="1"/>
  <c r="G11" s="1"/>
  <c r="H11" s="1"/>
  <c r="I11" s="1"/>
  <c r="J11" s="1"/>
  <c r="K11" s="1"/>
  <c r="L11" s="1"/>
  <c r="M11" s="1"/>
  <c r="N11" s="1"/>
  <c r="O11" s="1"/>
  <c r="P11" s="1"/>
  <c r="A10"/>
  <c r="A23" i="15"/>
  <c r="A22" s="1"/>
  <c r="A21" s="1"/>
  <c r="A20" s="1"/>
  <c r="A19" s="1"/>
  <c r="A18" s="1"/>
  <c r="A17" s="1"/>
  <c r="A16" s="1"/>
  <c r="A15" s="1"/>
  <c r="A14" s="1"/>
  <c r="A13" s="1"/>
  <c r="A12" s="1"/>
  <c r="A11" s="1"/>
  <c r="A10" s="1"/>
  <c r="C8"/>
  <c r="D8" s="1"/>
  <c r="E8" s="1"/>
  <c r="F8" s="1"/>
  <c r="G8" s="1"/>
  <c r="H8" s="1"/>
  <c r="I8" s="1"/>
  <c r="J8" s="1"/>
  <c r="K8" s="1"/>
  <c r="L8" s="1"/>
  <c r="M8" s="1"/>
  <c r="N8" s="1"/>
  <c r="O8" s="1"/>
  <c r="P8" s="1"/>
  <c r="A7"/>
  <c r="P59" i="13"/>
  <c r="A30"/>
  <c r="S122"/>
  <c r="A27"/>
  <c r="A26" s="1"/>
  <c r="S121"/>
  <c r="S120"/>
  <c r="S119"/>
  <c r="B54"/>
  <c r="S118"/>
  <c r="S117"/>
  <c r="S116"/>
  <c r="S115"/>
  <c r="S114"/>
  <c r="S113"/>
  <c r="S112"/>
  <c r="S111"/>
  <c r="S110"/>
  <c r="S109"/>
  <c r="H56"/>
  <c r="C11"/>
  <c r="D11" s="1"/>
  <c r="E11" s="1"/>
  <c r="F11" s="1"/>
  <c r="G11" s="1"/>
  <c r="H11" s="1"/>
  <c r="I11" s="1"/>
  <c r="J11" s="1"/>
  <c r="K11" s="1"/>
  <c r="L11" s="1"/>
  <c r="M11" s="1"/>
  <c r="N11" s="1"/>
  <c r="O11" s="1"/>
  <c r="P11" s="1"/>
  <c r="B28" i="14"/>
  <c r="B27" s="1"/>
  <c r="B26" s="1"/>
  <c r="B25" s="1"/>
  <c r="B24" s="1"/>
  <c r="B23" s="1"/>
  <c r="B22" s="1"/>
  <c r="B21" s="1"/>
  <c r="B20" s="1"/>
  <c r="B19" s="1"/>
  <c r="B18" s="1"/>
  <c r="B17" s="1"/>
  <c r="B16" s="1"/>
  <c r="B15" s="1"/>
  <c r="A28"/>
  <c r="A27" s="1"/>
  <c r="A26" s="1"/>
  <c r="A25" s="1"/>
  <c r="A24" s="1"/>
  <c r="A23" s="1"/>
  <c r="A22" s="1"/>
  <c r="A21" s="1"/>
  <c r="A20" s="1"/>
  <c r="A19" s="1"/>
  <c r="A18" s="1"/>
  <c r="A17" s="1"/>
  <c r="A16" s="1"/>
  <c r="A15" s="1"/>
  <c r="A27" i="12"/>
  <c r="A43"/>
  <c r="C8"/>
  <c r="D8" s="1"/>
  <c r="E8" s="1"/>
  <c r="F8" s="1"/>
  <c r="G8" s="1"/>
  <c r="H8" s="1"/>
  <c r="I8" s="1"/>
  <c r="J8" s="1"/>
  <c r="K8" s="1"/>
  <c r="L8" s="1"/>
  <c r="M8" s="1"/>
  <c r="N8" s="1"/>
  <c r="O8" s="1"/>
  <c r="P8" s="1"/>
  <c r="A29" i="11"/>
  <c r="A28" s="1"/>
  <c r="A27" s="1"/>
  <c r="A26" s="1"/>
  <c r="A25" s="1"/>
  <c r="A24" s="1"/>
  <c r="A23" s="1"/>
  <c r="A22" s="1"/>
  <c r="A21" s="1"/>
  <c r="A20" s="1"/>
  <c r="A19" s="1"/>
  <c r="A18" s="1"/>
  <c r="A17" s="1"/>
  <c r="B30"/>
  <c r="B29" s="1"/>
  <c r="B28" s="1"/>
  <c r="B27" s="1"/>
  <c r="B26" s="1"/>
  <c r="B25" s="1"/>
  <c r="B24" s="1"/>
  <c r="B23" s="1"/>
  <c r="B22" s="1"/>
  <c r="B21" s="1"/>
  <c r="B20" s="1"/>
  <c r="B19" s="1"/>
  <c r="B18" s="1"/>
  <c r="B17" s="1"/>
  <c r="A28" i="10"/>
  <c r="A27" s="1"/>
  <c r="A26" s="1"/>
  <c r="A25" s="1"/>
  <c r="A24" s="1"/>
  <c r="A23" s="1"/>
  <c r="A22" s="1"/>
  <c r="A21" s="1"/>
  <c r="A20" s="1"/>
  <c r="A19" s="1"/>
  <c r="A18" s="1"/>
  <c r="A17" s="1"/>
  <c r="A16" s="1"/>
  <c r="A15" s="1"/>
  <c r="B28"/>
  <c r="B27" s="1"/>
  <c r="B26" s="1"/>
  <c r="B25" s="1"/>
  <c r="B24" s="1"/>
  <c r="B23" s="1"/>
  <c r="B22" s="1"/>
  <c r="B21" s="1"/>
  <c r="B20" s="1"/>
  <c r="B19" s="1"/>
  <c r="B18" s="1"/>
  <c r="B17" s="1"/>
  <c r="B16" s="1"/>
  <c r="B15" s="1"/>
  <c r="A27" i="9"/>
  <c r="A26" s="1"/>
  <c r="A25" s="1"/>
  <c r="A24" s="1"/>
  <c r="A23" s="1"/>
  <c r="A22" s="1"/>
  <c r="A21" s="1"/>
  <c r="A20" s="1"/>
  <c r="A19" s="1"/>
  <c r="D31" s="1"/>
  <c r="G11"/>
  <c r="A10"/>
  <c r="A31" i="8"/>
  <c r="A30" s="1"/>
  <c r="A29" s="1"/>
  <c r="A28" s="1"/>
  <c r="A27" s="1"/>
  <c r="A26" s="1"/>
  <c r="A25" s="1"/>
  <c r="A24" s="1"/>
  <c r="A23" s="1"/>
  <c r="A22" s="1"/>
  <c r="A21" s="1"/>
  <c r="A20" s="1"/>
  <c r="A19" s="1"/>
  <c r="A18" s="1"/>
  <c r="A17" s="1"/>
  <c r="A31" i="35"/>
  <c r="A30" s="1"/>
  <c r="A29" s="1"/>
  <c r="A28" s="1"/>
  <c r="A27" s="1"/>
  <c r="A26" s="1"/>
  <c r="A25" s="1"/>
  <c r="A24" s="1"/>
  <c r="A23" s="1"/>
  <c r="A22" s="1"/>
  <c r="A21" s="1"/>
  <c r="A20" s="1"/>
  <c r="A19" s="1"/>
  <c r="A18" s="1"/>
  <c r="A17" s="1"/>
  <c r="A31" i="7"/>
  <c r="A30" s="1"/>
  <c r="A29" s="1"/>
  <c r="A28" s="1"/>
  <c r="A27" s="1"/>
  <c r="A26" s="1"/>
  <c r="A25" s="1"/>
  <c r="A24" s="1"/>
  <c r="A23" s="1"/>
  <c r="A22" s="1"/>
  <c r="A21" s="1"/>
  <c r="A20" s="1"/>
  <c r="A19" s="1"/>
  <c r="A18" s="1"/>
  <c r="A17" s="1"/>
  <c r="A31" i="29"/>
  <c r="A30" s="1"/>
  <c r="A29" s="1"/>
  <c r="A28" s="1"/>
  <c r="A27" s="1"/>
  <c r="A26" s="1"/>
  <c r="A25" s="1"/>
  <c r="A24" s="1"/>
  <c r="A23" s="1"/>
  <c r="A22" s="1"/>
  <c r="A21" s="1"/>
  <c r="A20" s="1"/>
  <c r="A19" s="1"/>
  <c r="A18" s="1"/>
  <c r="A17" s="1"/>
  <c r="A31" i="6"/>
  <c r="A30" s="1"/>
  <c r="A29" s="1"/>
  <c r="A28" s="1"/>
  <c r="A27" s="1"/>
  <c r="A26" s="1"/>
  <c r="A25" s="1"/>
  <c r="A24" s="1"/>
  <c r="A23" s="1"/>
  <c r="A22" s="1"/>
  <c r="A21" s="1"/>
  <c r="A20" s="1"/>
  <c r="A19" s="1"/>
  <c r="A18" s="1"/>
  <c r="A17" s="1"/>
  <c r="C31" i="8"/>
  <c r="G124" i="35" s="1"/>
  <c r="G31" s="1"/>
  <c r="C30" i="8"/>
  <c r="G123" i="35" s="1"/>
  <c r="G30" s="1"/>
  <c r="C29" i="8"/>
  <c r="G122" i="35" s="1"/>
  <c r="G29" s="1"/>
  <c r="C28" i="8"/>
  <c r="G121" i="35" s="1"/>
  <c r="G28" s="1"/>
  <c r="C27" i="8"/>
  <c r="G120" i="35" s="1"/>
  <c r="G27" s="1"/>
  <c r="C26" i="8"/>
  <c r="G119" i="35" s="1"/>
  <c r="G26" s="1"/>
  <c r="C25" i="8"/>
  <c r="G118" i="35" s="1"/>
  <c r="G25" s="1"/>
  <c r="C24" i="8"/>
  <c r="G117" i="35" s="1"/>
  <c r="G24" s="1"/>
  <c r="C23" i="8"/>
  <c r="G116" i="35" s="1"/>
  <c r="G23" s="1"/>
  <c r="C22" i="8"/>
  <c r="G115" i="35" s="1"/>
  <c r="G22" s="1"/>
  <c r="C21" i="8"/>
  <c r="G114" i="35" s="1"/>
  <c r="G21" s="1"/>
  <c r="C20" i="8"/>
  <c r="G113" i="35" s="1"/>
  <c r="G20" s="1"/>
  <c r="C19" i="8"/>
  <c r="G112" i="35" s="1"/>
  <c r="G19" s="1"/>
  <c r="C18" i="8"/>
  <c r="G111" i="35" s="1"/>
  <c r="G18" s="1"/>
  <c r="C17" i="8"/>
  <c r="G110" i="35" s="1"/>
  <c r="D29"/>
  <c r="D28"/>
  <c r="D27"/>
  <c r="D26"/>
  <c r="D25"/>
  <c r="D24"/>
  <c r="D23"/>
  <c r="D22"/>
  <c r="D21"/>
  <c r="D20"/>
  <c r="D19"/>
  <c r="D18"/>
  <c r="B30" i="7"/>
  <c r="B29"/>
  <c r="B28"/>
  <c r="B27"/>
  <c r="B26"/>
  <c r="B25"/>
  <c r="B24"/>
  <c r="B23"/>
  <c r="B22" s="1"/>
  <c r="B21" s="1"/>
  <c r="B20" s="1"/>
  <c r="B19" s="1"/>
  <c r="B18" s="1"/>
  <c r="B17" s="1"/>
  <c r="B123" i="6"/>
  <c r="B122" s="1"/>
  <c r="B121" s="1"/>
  <c r="B120" s="1"/>
  <c r="B119" s="1"/>
  <c r="B118" s="1"/>
  <c r="B117" s="1"/>
  <c r="B116" s="1"/>
  <c r="B115" s="1"/>
  <c r="B114" s="1"/>
  <c r="B113" s="1"/>
  <c r="B112" s="1"/>
  <c r="B111" s="1"/>
  <c r="B110" s="1"/>
  <c r="A27" i="2"/>
  <c r="A26" s="1"/>
  <c r="A45" s="1"/>
  <c r="A27" i="3"/>
  <c r="A26" s="1"/>
  <c r="A27" i="4"/>
  <c r="A46" s="1"/>
  <c r="A27" i="5"/>
  <c r="A46" s="1"/>
  <c r="B11" i="2"/>
  <c r="C11" s="1"/>
  <c r="D11" s="1"/>
  <c r="E11" s="1"/>
  <c r="F11" s="1"/>
  <c r="G11" s="1"/>
  <c r="H11" s="1"/>
  <c r="I11" s="1"/>
  <c r="J11" s="1"/>
  <c r="K11" s="1"/>
  <c r="L11" s="1"/>
  <c r="M11" s="1"/>
  <c r="N11" s="1"/>
  <c r="O11" s="1"/>
  <c r="P11" s="1"/>
  <c r="B11" i="3"/>
  <c r="C11" s="1"/>
  <c r="D11" s="1"/>
  <c r="E11" s="1"/>
  <c r="F11" s="1"/>
  <c r="G11" s="1"/>
  <c r="H11" s="1"/>
  <c r="I11" s="1"/>
  <c r="J11" s="1"/>
  <c r="K11" s="1"/>
  <c r="L11" s="1"/>
  <c r="M11" s="1"/>
  <c r="N11" s="1"/>
  <c r="O11" s="1"/>
  <c r="P11" s="1"/>
  <c r="B11" i="4"/>
  <c r="C11" s="1"/>
  <c r="D11" s="1"/>
  <c r="E11" s="1"/>
  <c r="F11" s="1"/>
  <c r="G11" s="1"/>
  <c r="H11" s="1"/>
  <c r="I11" s="1"/>
  <c r="J11" s="1"/>
  <c r="K11" s="1"/>
  <c r="L11" s="1"/>
  <c r="M11" s="1"/>
  <c r="N11" s="1"/>
  <c r="O11" s="1"/>
  <c r="P11" s="1"/>
  <c r="B11" i="5"/>
  <c r="C11" s="1"/>
  <c r="D11" s="1"/>
  <c r="E11" s="1"/>
  <c r="F11" s="1"/>
  <c r="G11" s="1"/>
  <c r="H11" s="1"/>
  <c r="I11" s="1"/>
  <c r="J11" s="1"/>
  <c r="K11" s="1"/>
  <c r="L11" s="1"/>
  <c r="M11" s="1"/>
  <c r="N11" s="1"/>
  <c r="O11" s="1"/>
  <c r="P11" s="1"/>
  <c r="A3" i="1"/>
  <c r="P62" i="5"/>
  <c r="O56"/>
  <c r="O61" s="1"/>
  <c r="N56"/>
  <c r="N61" s="1"/>
  <c r="M56"/>
  <c r="M61" s="1"/>
  <c r="L56"/>
  <c r="L61" s="1"/>
  <c r="K56"/>
  <c r="K61" s="1"/>
  <c r="J56"/>
  <c r="J61" s="1"/>
  <c r="I56"/>
  <c r="I61" s="1"/>
  <c r="H56"/>
  <c r="H61" s="1"/>
  <c r="G56"/>
  <c r="G61" s="1"/>
  <c r="F56"/>
  <c r="F61" s="1"/>
  <c r="E56"/>
  <c r="E61" s="1"/>
  <c r="D56"/>
  <c r="D61" s="1"/>
  <c r="C56"/>
  <c r="C61" s="1"/>
  <c r="B56"/>
  <c r="B61" s="1"/>
  <c r="L55"/>
  <c r="K55"/>
  <c r="J55"/>
  <c r="I55"/>
  <c r="H55"/>
  <c r="G55"/>
  <c r="F55"/>
  <c r="E55"/>
  <c r="D55"/>
  <c r="C55"/>
  <c r="B55"/>
  <c r="N54"/>
  <c r="M54"/>
  <c r="L54"/>
  <c r="K54"/>
  <c r="J54"/>
  <c r="I54"/>
  <c r="H54"/>
  <c r="G54"/>
  <c r="F54"/>
  <c r="E54"/>
  <c r="D54"/>
  <c r="C54"/>
  <c r="B54"/>
  <c r="B46"/>
  <c r="C45"/>
  <c r="B45"/>
  <c r="D44"/>
  <c r="C44"/>
  <c r="B44"/>
  <c r="B49" s="1"/>
  <c r="E43"/>
  <c r="D43"/>
  <c r="C43"/>
  <c r="B43"/>
  <c r="F42"/>
  <c r="E42"/>
  <c r="D42"/>
  <c r="C42"/>
  <c r="B42"/>
  <c r="G41"/>
  <c r="F41"/>
  <c r="E41"/>
  <c r="E49" s="1"/>
  <c r="D41"/>
  <c r="C41"/>
  <c r="C51" s="1"/>
  <c r="B41"/>
  <c r="H40"/>
  <c r="G40"/>
  <c r="F40"/>
  <c r="F49" s="1"/>
  <c r="E40"/>
  <c r="D40"/>
  <c r="D50" s="1"/>
  <c r="C40"/>
  <c r="B40"/>
  <c r="I39"/>
  <c r="H39"/>
  <c r="G39"/>
  <c r="F39"/>
  <c r="E39"/>
  <c r="D39"/>
  <c r="C39"/>
  <c r="B39"/>
  <c r="J38"/>
  <c r="I38"/>
  <c r="H38"/>
  <c r="G38"/>
  <c r="F38"/>
  <c r="E38"/>
  <c r="D38"/>
  <c r="C38"/>
  <c r="B38"/>
  <c r="K37"/>
  <c r="J37"/>
  <c r="I37"/>
  <c r="I49" s="1"/>
  <c r="H37"/>
  <c r="G37"/>
  <c r="G51" s="1"/>
  <c r="F37"/>
  <c r="E37"/>
  <c r="D37"/>
  <c r="C37"/>
  <c r="B37"/>
  <c r="L36"/>
  <c r="K36"/>
  <c r="J36"/>
  <c r="J49" s="1"/>
  <c r="I36"/>
  <c r="H36"/>
  <c r="H50" s="1"/>
  <c r="G36"/>
  <c r="F36"/>
  <c r="E36"/>
  <c r="D36"/>
  <c r="C36"/>
  <c r="B36"/>
  <c r="M35"/>
  <c r="L35"/>
  <c r="K35"/>
  <c r="J35"/>
  <c r="I35"/>
  <c r="H35"/>
  <c r="G35"/>
  <c r="F35"/>
  <c r="E35"/>
  <c r="D35"/>
  <c r="C35"/>
  <c r="B35"/>
  <c r="N34"/>
  <c r="M34"/>
  <c r="L34"/>
  <c r="K34"/>
  <c r="J34"/>
  <c r="I34"/>
  <c r="H34"/>
  <c r="G34"/>
  <c r="F34"/>
  <c r="E34"/>
  <c r="D34"/>
  <c r="C34"/>
  <c r="B34"/>
  <c r="O33"/>
  <c r="O52" s="1"/>
  <c r="N33"/>
  <c r="N52" s="1"/>
  <c r="M33"/>
  <c r="M52" s="1"/>
  <c r="L33"/>
  <c r="K33"/>
  <c r="K51" s="1"/>
  <c r="J33"/>
  <c r="I33"/>
  <c r="I52" s="1"/>
  <c r="H33"/>
  <c r="G33"/>
  <c r="G52" s="1"/>
  <c r="F33"/>
  <c r="E33"/>
  <c r="E52" s="1"/>
  <c r="D33"/>
  <c r="C33"/>
  <c r="C52" s="1"/>
  <c r="B33"/>
  <c r="A30"/>
  <c r="A10"/>
  <c r="P62" i="4"/>
  <c r="P111" s="1"/>
  <c r="T111" s="1"/>
  <c r="O56"/>
  <c r="N56"/>
  <c r="M56"/>
  <c r="M61" s="1"/>
  <c r="L56"/>
  <c r="L61" s="1"/>
  <c r="K56"/>
  <c r="K61" s="1"/>
  <c r="J56"/>
  <c r="J61" s="1"/>
  <c r="I56"/>
  <c r="I61" s="1"/>
  <c r="H56"/>
  <c r="H61" s="1"/>
  <c r="G56"/>
  <c r="G61" s="1"/>
  <c r="F56"/>
  <c r="F61" s="1"/>
  <c r="E56"/>
  <c r="E61" s="1"/>
  <c r="D56"/>
  <c r="D61" s="1"/>
  <c r="C56"/>
  <c r="C61" s="1"/>
  <c r="B56"/>
  <c r="B61" s="1"/>
  <c r="L55"/>
  <c r="K55"/>
  <c r="J55"/>
  <c r="I55"/>
  <c r="H55"/>
  <c r="G55"/>
  <c r="F55"/>
  <c r="E55"/>
  <c r="D55"/>
  <c r="C55"/>
  <c r="B55"/>
  <c r="N54"/>
  <c r="M54"/>
  <c r="L54"/>
  <c r="K54"/>
  <c r="J54"/>
  <c r="I54"/>
  <c r="H54"/>
  <c r="G54"/>
  <c r="F54"/>
  <c r="E54"/>
  <c r="D54"/>
  <c r="C54"/>
  <c r="B54"/>
  <c r="B46"/>
  <c r="C45"/>
  <c r="B45"/>
  <c r="D44"/>
  <c r="C44"/>
  <c r="B44"/>
  <c r="E43"/>
  <c r="D43"/>
  <c r="C43"/>
  <c r="B43"/>
  <c r="F42"/>
  <c r="E42"/>
  <c r="D42"/>
  <c r="C42"/>
  <c r="B42"/>
  <c r="G41"/>
  <c r="F41"/>
  <c r="E41"/>
  <c r="E49" s="1"/>
  <c r="D41"/>
  <c r="C41"/>
  <c r="C50" s="1"/>
  <c r="B41"/>
  <c r="H40"/>
  <c r="G40"/>
  <c r="F40"/>
  <c r="E40"/>
  <c r="D40"/>
  <c r="D51" s="1"/>
  <c r="C40"/>
  <c r="B40"/>
  <c r="I39"/>
  <c r="H39"/>
  <c r="G39"/>
  <c r="F39"/>
  <c r="E39"/>
  <c r="D39"/>
  <c r="C39"/>
  <c r="B39"/>
  <c r="J38"/>
  <c r="I38"/>
  <c r="H38"/>
  <c r="G38"/>
  <c r="F38"/>
  <c r="E38"/>
  <c r="D38"/>
  <c r="C38"/>
  <c r="B38"/>
  <c r="K37"/>
  <c r="J37"/>
  <c r="I37"/>
  <c r="I49" s="1"/>
  <c r="H37"/>
  <c r="G37"/>
  <c r="G50" s="1"/>
  <c r="F37"/>
  <c r="E37"/>
  <c r="D37"/>
  <c r="C37"/>
  <c r="B37"/>
  <c r="L36"/>
  <c r="K36"/>
  <c r="J36"/>
  <c r="I36"/>
  <c r="H36"/>
  <c r="H51" s="1"/>
  <c r="G36"/>
  <c r="F36"/>
  <c r="E36"/>
  <c r="D36"/>
  <c r="C36"/>
  <c r="B36"/>
  <c r="M35"/>
  <c r="L35"/>
  <c r="K35"/>
  <c r="J35"/>
  <c r="I35"/>
  <c r="H35"/>
  <c r="G35"/>
  <c r="F35"/>
  <c r="E35"/>
  <c r="D35"/>
  <c r="C35"/>
  <c r="B35"/>
  <c r="N34"/>
  <c r="M34"/>
  <c r="L34"/>
  <c r="K34"/>
  <c r="J34"/>
  <c r="I34"/>
  <c r="H34"/>
  <c r="G34"/>
  <c r="F34"/>
  <c r="E34"/>
  <c r="D34"/>
  <c r="C34"/>
  <c r="B34"/>
  <c r="O33"/>
  <c r="O52" s="1"/>
  <c r="N33"/>
  <c r="N52" s="1"/>
  <c r="M33"/>
  <c r="M52" s="1"/>
  <c r="L33"/>
  <c r="K33"/>
  <c r="K52" s="1"/>
  <c r="J33"/>
  <c r="I33"/>
  <c r="I52" s="1"/>
  <c r="H33"/>
  <c r="G33"/>
  <c r="G52" s="1"/>
  <c r="F33"/>
  <c r="E33"/>
  <c r="E52" s="1"/>
  <c r="D33"/>
  <c r="C33"/>
  <c r="C52" s="1"/>
  <c r="B33"/>
  <c r="A30"/>
  <c r="A10"/>
  <c r="P62" i="3"/>
  <c r="O56"/>
  <c r="O61" s="1"/>
  <c r="N56"/>
  <c r="N61" s="1"/>
  <c r="M56"/>
  <c r="M61" s="1"/>
  <c r="L56"/>
  <c r="L61" s="1"/>
  <c r="K56"/>
  <c r="K61" s="1"/>
  <c r="J56"/>
  <c r="J61" s="1"/>
  <c r="I56"/>
  <c r="I61" s="1"/>
  <c r="H56"/>
  <c r="H61" s="1"/>
  <c r="G56"/>
  <c r="G61" s="1"/>
  <c r="F56"/>
  <c r="F61" s="1"/>
  <c r="E56"/>
  <c r="E61" s="1"/>
  <c r="D56"/>
  <c r="D61" s="1"/>
  <c r="C56"/>
  <c r="C61" s="1"/>
  <c r="B56"/>
  <c r="B61" s="1"/>
  <c r="L55"/>
  <c r="K55"/>
  <c r="J55"/>
  <c r="I55"/>
  <c r="H55"/>
  <c r="G55"/>
  <c r="F55"/>
  <c r="E55"/>
  <c r="D55"/>
  <c r="C55"/>
  <c r="B55"/>
  <c r="N54"/>
  <c r="M54"/>
  <c r="L54"/>
  <c r="K54"/>
  <c r="J54"/>
  <c r="I54"/>
  <c r="H54"/>
  <c r="G54"/>
  <c r="F54"/>
  <c r="E54"/>
  <c r="D54"/>
  <c r="C54"/>
  <c r="B46"/>
  <c r="C45"/>
  <c r="B45"/>
  <c r="D44"/>
  <c r="C44"/>
  <c r="B44"/>
  <c r="B49" s="1"/>
  <c r="E43"/>
  <c r="D43"/>
  <c r="C43"/>
  <c r="B43"/>
  <c r="F42"/>
  <c r="E42"/>
  <c r="D42"/>
  <c r="C42"/>
  <c r="B42"/>
  <c r="G41"/>
  <c r="F41"/>
  <c r="E41"/>
  <c r="E49" s="1"/>
  <c r="D41"/>
  <c r="C41"/>
  <c r="C50" s="1"/>
  <c r="B41"/>
  <c r="H40"/>
  <c r="G40"/>
  <c r="F40"/>
  <c r="F49" s="1"/>
  <c r="E40"/>
  <c r="D40"/>
  <c r="D51" s="1"/>
  <c r="C40"/>
  <c r="B40"/>
  <c r="I39"/>
  <c r="H39"/>
  <c r="G39"/>
  <c r="F39"/>
  <c r="E39"/>
  <c r="C39"/>
  <c r="B39"/>
  <c r="J38"/>
  <c r="I38"/>
  <c r="H38"/>
  <c r="H49" s="1"/>
  <c r="G38"/>
  <c r="F38"/>
  <c r="F51" s="1"/>
  <c r="E38"/>
  <c r="D38"/>
  <c r="C38"/>
  <c r="B38"/>
  <c r="K37"/>
  <c r="J37"/>
  <c r="I37"/>
  <c r="I49" s="1"/>
  <c r="H37"/>
  <c r="G37"/>
  <c r="F37"/>
  <c r="E37"/>
  <c r="D37"/>
  <c r="C37"/>
  <c r="B37"/>
  <c r="L36"/>
  <c r="K36"/>
  <c r="J36"/>
  <c r="I36"/>
  <c r="H36"/>
  <c r="G36"/>
  <c r="F36"/>
  <c r="E36"/>
  <c r="D36"/>
  <c r="C36"/>
  <c r="B36"/>
  <c r="M35"/>
  <c r="L35"/>
  <c r="K35"/>
  <c r="K49" s="1"/>
  <c r="J35"/>
  <c r="I35"/>
  <c r="I50" s="1"/>
  <c r="H35"/>
  <c r="G35"/>
  <c r="F35"/>
  <c r="E35"/>
  <c r="D35"/>
  <c r="C35"/>
  <c r="B35"/>
  <c r="N34"/>
  <c r="M34"/>
  <c r="L34"/>
  <c r="L49" s="1"/>
  <c r="K34"/>
  <c r="J34"/>
  <c r="J51" s="1"/>
  <c r="I34"/>
  <c r="H34"/>
  <c r="G34"/>
  <c r="F34"/>
  <c r="E34"/>
  <c r="D34"/>
  <c r="C34"/>
  <c r="B34"/>
  <c r="O33"/>
  <c r="O52" s="1"/>
  <c r="N33"/>
  <c r="N52" s="1"/>
  <c r="M33"/>
  <c r="L33"/>
  <c r="L51" s="1"/>
  <c r="K33"/>
  <c r="J33"/>
  <c r="J52" s="1"/>
  <c r="I33"/>
  <c r="H33"/>
  <c r="H52" s="1"/>
  <c r="G33"/>
  <c r="F33"/>
  <c r="F52" s="1"/>
  <c r="E33"/>
  <c r="D33"/>
  <c r="D52" s="1"/>
  <c r="C33"/>
  <c r="B33"/>
  <c r="B52" s="1"/>
  <c r="A30"/>
  <c r="U27"/>
  <c r="V26"/>
  <c r="U26" s="1"/>
  <c r="W25"/>
  <c r="V25" s="1"/>
  <c r="U25" s="1"/>
  <c r="X24"/>
  <c r="W24" s="1"/>
  <c r="V24" s="1"/>
  <c r="U24" s="1"/>
  <c r="Y23"/>
  <c r="X23" s="1"/>
  <c r="W23" s="1"/>
  <c r="V23" s="1"/>
  <c r="U23" s="1"/>
  <c r="Z22"/>
  <c r="Y22" s="1"/>
  <c r="X22" s="1"/>
  <c r="W22" s="1"/>
  <c r="V22" s="1"/>
  <c r="U22" s="1"/>
  <c r="AA21"/>
  <c r="Z21" s="1"/>
  <c r="Y21" s="1"/>
  <c r="X21" s="1"/>
  <c r="W21" s="1"/>
  <c r="V21" s="1"/>
  <c r="U21" s="1"/>
  <c r="AB20"/>
  <c r="AA20" s="1"/>
  <c r="Z20" s="1"/>
  <c r="Y20" s="1"/>
  <c r="X20" s="1"/>
  <c r="W20" s="1"/>
  <c r="V20" s="1"/>
  <c r="U20" s="1"/>
  <c r="AC19"/>
  <c r="AB19" s="1"/>
  <c r="AA19" s="1"/>
  <c r="Z19" s="1"/>
  <c r="Y19" s="1"/>
  <c r="X19" s="1"/>
  <c r="W19" s="1"/>
  <c r="V19" s="1"/>
  <c r="U19" s="1"/>
  <c r="AD18"/>
  <c r="AC18" s="1"/>
  <c r="AB18" s="1"/>
  <c r="AA18" s="1"/>
  <c r="Z18" s="1"/>
  <c r="Y18" s="1"/>
  <c r="X18" s="1"/>
  <c r="W18" s="1"/>
  <c r="V18" s="1"/>
  <c r="U18" s="1"/>
  <c r="AE17"/>
  <c r="AD17" s="1"/>
  <c r="AC17" s="1"/>
  <c r="AB17" s="1"/>
  <c r="AA17" s="1"/>
  <c r="Z17" s="1"/>
  <c r="Y17" s="1"/>
  <c r="X17" s="1"/>
  <c r="W17" s="1"/>
  <c r="V17" s="1"/>
  <c r="U17" s="1"/>
  <c r="AF16"/>
  <c r="AE16" s="1"/>
  <c r="AD16" s="1"/>
  <c r="AC16" s="1"/>
  <c r="AB16" s="1"/>
  <c r="AA16" s="1"/>
  <c r="Z16" s="1"/>
  <c r="Y16" s="1"/>
  <c r="X16" s="1"/>
  <c r="W16" s="1"/>
  <c r="V16" s="1"/>
  <c r="U16" s="1"/>
  <c r="AG15"/>
  <c r="AF15" s="1"/>
  <c r="AE15" s="1"/>
  <c r="AD15" s="1"/>
  <c r="AC15" s="1"/>
  <c r="AB15" s="1"/>
  <c r="AA15" s="1"/>
  <c r="Z15" s="1"/>
  <c r="Y15" s="1"/>
  <c r="X15" s="1"/>
  <c r="W15" s="1"/>
  <c r="V15" s="1"/>
  <c r="U15" s="1"/>
  <c r="AH14"/>
  <c r="AG14" s="1"/>
  <c r="AF14" s="1"/>
  <c r="AE14" s="1"/>
  <c r="AD14" s="1"/>
  <c r="AC14" s="1"/>
  <c r="AB14" s="1"/>
  <c r="AA14" s="1"/>
  <c r="Z14" s="1"/>
  <c r="Y14" s="1"/>
  <c r="X14" s="1"/>
  <c r="W14" s="1"/>
  <c r="V14" s="1"/>
  <c r="U14" s="1"/>
  <c r="AI13"/>
  <c r="AH13" s="1"/>
  <c r="AG13" s="1"/>
  <c r="AF13" s="1"/>
  <c r="AE13" s="1"/>
  <c r="AD13" s="1"/>
  <c r="AC13" s="1"/>
  <c r="AB13" s="1"/>
  <c r="AA13" s="1"/>
  <c r="Z13" s="1"/>
  <c r="Y13" s="1"/>
  <c r="X13" s="1"/>
  <c r="W13" s="1"/>
  <c r="V13" s="1"/>
  <c r="U13" s="1"/>
  <c r="P62" i="2"/>
  <c r="O56"/>
  <c r="O61" s="1"/>
  <c r="N56"/>
  <c r="N61" s="1"/>
  <c r="M56"/>
  <c r="M61" s="1"/>
  <c r="L56"/>
  <c r="L61" s="1"/>
  <c r="K56"/>
  <c r="K61" s="1"/>
  <c r="J56"/>
  <c r="J61" s="1"/>
  <c r="I56"/>
  <c r="I61" s="1"/>
  <c r="H56"/>
  <c r="H61" s="1"/>
  <c r="G56"/>
  <c r="G61" s="1"/>
  <c r="F56"/>
  <c r="F61" s="1"/>
  <c r="E56"/>
  <c r="E61" s="1"/>
  <c r="D56"/>
  <c r="D61" s="1"/>
  <c r="C56"/>
  <c r="C61" s="1"/>
  <c r="B56"/>
  <c r="B61" s="1"/>
  <c r="L55"/>
  <c r="K55"/>
  <c r="J55"/>
  <c r="I55"/>
  <c r="H55"/>
  <c r="G55"/>
  <c r="F55"/>
  <c r="E55"/>
  <c r="D55"/>
  <c r="C55"/>
  <c r="B55"/>
  <c r="N54"/>
  <c r="M54"/>
  <c r="L54"/>
  <c r="K54"/>
  <c r="J54"/>
  <c r="I54"/>
  <c r="H54"/>
  <c r="G54"/>
  <c r="F54"/>
  <c r="E54"/>
  <c r="D54"/>
  <c r="C54"/>
  <c r="B54"/>
  <c r="B46"/>
  <c r="C45"/>
  <c r="B45"/>
  <c r="D44"/>
  <c r="C44"/>
  <c r="B44"/>
  <c r="E43"/>
  <c r="D43"/>
  <c r="C43"/>
  <c r="C49" s="1"/>
  <c r="B43"/>
  <c r="F42"/>
  <c r="E42"/>
  <c r="D42"/>
  <c r="D49" s="1"/>
  <c r="C42"/>
  <c r="B42"/>
  <c r="B51" s="1"/>
  <c r="G41"/>
  <c r="F41"/>
  <c r="E41"/>
  <c r="D41"/>
  <c r="C41"/>
  <c r="B41"/>
  <c r="H40"/>
  <c r="G40"/>
  <c r="F40"/>
  <c r="E40"/>
  <c r="D40"/>
  <c r="C40"/>
  <c r="B40"/>
  <c r="I39"/>
  <c r="H39"/>
  <c r="G39"/>
  <c r="G49" s="1"/>
  <c r="F39"/>
  <c r="E39"/>
  <c r="E50" s="1"/>
  <c r="D39"/>
  <c r="C39"/>
  <c r="B39"/>
  <c r="J38"/>
  <c r="I38"/>
  <c r="H38"/>
  <c r="H49" s="1"/>
  <c r="G38"/>
  <c r="F38"/>
  <c r="F51" s="1"/>
  <c r="E38"/>
  <c r="D38"/>
  <c r="C38"/>
  <c r="B38"/>
  <c r="K37"/>
  <c r="J37"/>
  <c r="I37"/>
  <c r="H37"/>
  <c r="G37"/>
  <c r="F37"/>
  <c r="E37"/>
  <c r="D37"/>
  <c r="C37"/>
  <c r="B37"/>
  <c r="L36"/>
  <c r="K36"/>
  <c r="J36"/>
  <c r="I36"/>
  <c r="H36"/>
  <c r="G36"/>
  <c r="F36"/>
  <c r="E36"/>
  <c r="D36"/>
  <c r="C36"/>
  <c r="B36"/>
  <c r="M35"/>
  <c r="L35"/>
  <c r="K35"/>
  <c r="K49" s="1"/>
  <c r="J35"/>
  <c r="I35"/>
  <c r="I50" s="1"/>
  <c r="H35"/>
  <c r="G35"/>
  <c r="F35"/>
  <c r="E35"/>
  <c r="D35"/>
  <c r="C35"/>
  <c r="B35"/>
  <c r="N34"/>
  <c r="M34"/>
  <c r="L34"/>
  <c r="L49" s="1"/>
  <c r="K34"/>
  <c r="J34"/>
  <c r="J51" s="1"/>
  <c r="I34"/>
  <c r="H34"/>
  <c r="G34"/>
  <c r="F34"/>
  <c r="E34"/>
  <c r="D34"/>
  <c r="C34"/>
  <c r="B34"/>
  <c r="O33"/>
  <c r="O52" s="1"/>
  <c r="N33"/>
  <c r="N52" s="1"/>
  <c r="M33"/>
  <c r="L33"/>
  <c r="K33"/>
  <c r="J33"/>
  <c r="J52" s="1"/>
  <c r="I33"/>
  <c r="H33"/>
  <c r="H52" s="1"/>
  <c r="G33"/>
  <c r="F33"/>
  <c r="F52" s="1"/>
  <c r="E33"/>
  <c r="D33"/>
  <c r="D52" s="1"/>
  <c r="C33"/>
  <c r="B33"/>
  <c r="B52" s="1"/>
  <c r="A30"/>
  <c r="A10"/>
  <c r="A24" i="1"/>
  <c r="A43" s="1"/>
  <c r="B8"/>
  <c r="C8" s="1"/>
  <c r="D8" s="1"/>
  <c r="E8" s="1"/>
  <c r="F8" s="1"/>
  <c r="G8" s="1"/>
  <c r="H8" s="1"/>
  <c r="I8" s="1"/>
  <c r="J8" s="1"/>
  <c r="K8" s="1"/>
  <c r="L8" s="1"/>
  <c r="M8" s="1"/>
  <c r="N8" s="1"/>
  <c r="O8" s="1"/>
  <c r="P8" s="1"/>
  <c r="P59"/>
  <c r="M53"/>
  <c r="L53"/>
  <c r="K53"/>
  <c r="J53"/>
  <c r="I53"/>
  <c r="H53"/>
  <c r="G53"/>
  <c r="F53"/>
  <c r="E53"/>
  <c r="C53"/>
  <c r="B53"/>
  <c r="L52"/>
  <c r="K52"/>
  <c r="J52"/>
  <c r="I52"/>
  <c r="H52"/>
  <c r="G52"/>
  <c r="F52"/>
  <c r="E52"/>
  <c r="C52"/>
  <c r="B52"/>
  <c r="N51"/>
  <c r="M51"/>
  <c r="L51"/>
  <c r="K51"/>
  <c r="J51"/>
  <c r="I51"/>
  <c r="H51"/>
  <c r="G51"/>
  <c r="F51"/>
  <c r="E51"/>
  <c r="C51"/>
  <c r="B51"/>
  <c r="B42"/>
  <c r="C41"/>
  <c r="B41"/>
  <c r="D40"/>
  <c r="C40"/>
  <c r="B40"/>
  <c r="E39"/>
  <c r="D39"/>
  <c r="C39"/>
  <c r="B39"/>
  <c r="F38"/>
  <c r="E38"/>
  <c r="D38"/>
  <c r="C38"/>
  <c r="B38"/>
  <c r="G37"/>
  <c r="F37"/>
  <c r="E37"/>
  <c r="D37"/>
  <c r="C37"/>
  <c r="B37"/>
  <c r="H36"/>
  <c r="G36"/>
  <c r="F36"/>
  <c r="E36"/>
  <c r="D36"/>
  <c r="C36"/>
  <c r="B36"/>
  <c r="I35"/>
  <c r="H35"/>
  <c r="G35"/>
  <c r="F35"/>
  <c r="E35"/>
  <c r="D35"/>
  <c r="C35"/>
  <c r="B35"/>
  <c r="J34"/>
  <c r="I34"/>
  <c r="H34"/>
  <c r="G34"/>
  <c r="F34"/>
  <c r="E34"/>
  <c r="D34"/>
  <c r="C34"/>
  <c r="B34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M31"/>
  <c r="L31"/>
  <c r="K31"/>
  <c r="J31"/>
  <c r="I31"/>
  <c r="H31"/>
  <c r="G31"/>
  <c r="F31"/>
  <c r="E31"/>
  <c r="D31"/>
  <c r="C31"/>
  <c r="B31"/>
  <c r="N30"/>
  <c r="M30"/>
  <c r="L30"/>
  <c r="K30"/>
  <c r="J30"/>
  <c r="I30"/>
  <c r="H30"/>
  <c r="G30"/>
  <c r="F30"/>
  <c r="E30"/>
  <c r="D30"/>
  <c r="C30"/>
  <c r="B30"/>
  <c r="O29"/>
  <c r="O49" s="1"/>
  <c r="N29"/>
  <c r="M29"/>
  <c r="L29"/>
  <c r="K29"/>
  <c r="J29"/>
  <c r="I29"/>
  <c r="H29"/>
  <c r="G29"/>
  <c r="F29"/>
  <c r="E29"/>
  <c r="D29"/>
  <c r="C29"/>
  <c r="B29"/>
  <c r="A26"/>
  <c r="C117" i="44" l="1"/>
  <c r="C24"/>
  <c r="C23"/>
  <c r="C116"/>
  <c r="C22"/>
  <c r="C115"/>
  <c r="C122"/>
  <c r="C29"/>
  <c r="C114"/>
  <c r="C21"/>
  <c r="C121"/>
  <c r="C28"/>
  <c r="C20"/>
  <c r="C113"/>
  <c r="C112"/>
  <c r="C19"/>
  <c r="C27"/>
  <c r="C120"/>
  <c r="C119"/>
  <c r="C26"/>
  <c r="C123"/>
  <c r="C30"/>
  <c r="C111"/>
  <c r="C18"/>
  <c r="C118"/>
  <c r="C25"/>
  <c r="C31"/>
  <c r="C124"/>
  <c r="B151" i="43"/>
  <c r="B51"/>
  <c r="H53" i="12"/>
  <c r="H53" i="43"/>
  <c r="N49" i="1"/>
  <c r="D115" i="6"/>
  <c r="G115" i="29" s="1"/>
  <c r="G22" s="1"/>
  <c r="G20" i="10"/>
  <c r="G22" i="41"/>
  <c r="G115"/>
  <c r="G113" i="10"/>
  <c r="D115" i="38"/>
  <c r="D123" i="6"/>
  <c r="G123" i="29" s="1"/>
  <c r="G30" s="1"/>
  <c r="G28" i="10"/>
  <c r="G123" i="41"/>
  <c r="G121" i="10"/>
  <c r="D123" i="38"/>
  <c r="G30" i="41"/>
  <c r="D114" i="6"/>
  <c r="G114" i="29" s="1"/>
  <c r="G21" s="1"/>
  <c r="G114" i="41"/>
  <c r="D114" i="38"/>
  <c r="G112" i="10"/>
  <c r="G21" i="41"/>
  <c r="G19" i="10"/>
  <c r="D122" i="6"/>
  <c r="G122" i="41"/>
  <c r="D122" i="38"/>
  <c r="G29" i="41"/>
  <c r="G120" i="10"/>
  <c r="G27"/>
  <c r="D113" i="6"/>
  <c r="G113" i="29" s="1"/>
  <c r="G20" s="1"/>
  <c r="G20" i="41"/>
  <c r="G111" i="10"/>
  <c r="G113" i="41"/>
  <c r="G18" i="10"/>
  <c r="D113" i="38"/>
  <c r="D121" i="6"/>
  <c r="G119" i="10"/>
  <c r="G121" i="41"/>
  <c r="G26" i="10"/>
  <c r="D121" i="38"/>
  <c r="G28" i="41"/>
  <c r="D112" i="6"/>
  <c r="G112" i="29" s="1"/>
  <c r="G19" s="1"/>
  <c r="G110" i="10"/>
  <c r="G112" i="41"/>
  <c r="D112" i="38"/>
  <c r="G19" i="41"/>
  <c r="G17" i="10"/>
  <c r="D120" i="6"/>
  <c r="G118" i="10"/>
  <c r="G120" i="41"/>
  <c r="G27"/>
  <c r="D120" i="38"/>
  <c r="G25" i="10"/>
  <c r="D111" i="6"/>
  <c r="G111" i="41"/>
  <c r="G109" i="10"/>
  <c r="D111" i="38"/>
  <c r="G18" i="41"/>
  <c r="G16" i="10"/>
  <c r="D119" i="6"/>
  <c r="G119" i="41"/>
  <c r="G117" i="10"/>
  <c r="D119" i="38"/>
  <c r="G24" i="10"/>
  <c r="G26" i="41"/>
  <c r="D110" i="6"/>
  <c r="G110" i="29" s="1"/>
  <c r="G15" i="10"/>
  <c r="G110" i="41"/>
  <c r="D110" i="38"/>
  <c r="G17" i="41"/>
  <c r="G108" i="10"/>
  <c r="D118" i="6"/>
  <c r="G23" i="10"/>
  <c r="G25" i="41"/>
  <c r="G118"/>
  <c r="D118" i="38"/>
  <c r="G116" i="10"/>
  <c r="D117" i="6"/>
  <c r="G117" i="29" s="1"/>
  <c r="G24" s="1"/>
  <c r="G24" i="41"/>
  <c r="G117"/>
  <c r="G22" i="10"/>
  <c r="D117" i="38"/>
  <c r="G115" i="10"/>
  <c r="D116" i="6"/>
  <c r="G21" i="10"/>
  <c r="G23" i="41"/>
  <c r="G114" i="10"/>
  <c r="G116" i="41"/>
  <c r="D116" i="38"/>
  <c r="D124" i="6"/>
  <c r="D124" i="38"/>
  <c r="G31" i="41"/>
  <c r="G29" i="10"/>
  <c r="G122"/>
  <c r="G124" i="41"/>
  <c r="H49" i="36"/>
  <c r="I46"/>
  <c r="L46"/>
  <c r="G49"/>
  <c r="C47"/>
  <c r="F49"/>
  <c r="C46"/>
  <c r="E49"/>
  <c r="M49"/>
  <c r="B46"/>
  <c r="D49"/>
  <c r="I47"/>
  <c r="B48"/>
  <c r="J48"/>
  <c r="C49"/>
  <c r="K49"/>
  <c r="F46"/>
  <c r="B49"/>
  <c r="J49"/>
  <c r="F48"/>
  <c r="E47"/>
  <c r="C112" i="14"/>
  <c r="C19"/>
  <c r="C116"/>
  <c r="C23"/>
  <c r="C29"/>
  <c r="C122"/>
  <c r="C110"/>
  <c r="C17"/>
  <c r="C114"/>
  <c r="C21"/>
  <c r="C118"/>
  <c r="C25"/>
  <c r="C119"/>
  <c r="C26"/>
  <c r="C121"/>
  <c r="C28"/>
  <c r="C109"/>
  <c r="C16"/>
  <c r="C111"/>
  <c r="C18"/>
  <c r="C113"/>
  <c r="C20"/>
  <c r="C115"/>
  <c r="C22"/>
  <c r="C117"/>
  <c r="C24"/>
  <c r="C120"/>
  <c r="C27"/>
  <c r="C126" i="7"/>
  <c r="B30" i="32"/>
  <c r="C30" i="37" s="1"/>
  <c r="B28" i="32"/>
  <c r="B26"/>
  <c r="B24"/>
  <c r="C24" i="37" s="1"/>
  <c r="B22" i="32"/>
  <c r="C22" i="37" s="1"/>
  <c r="B20" i="32"/>
  <c r="C20" i="37" s="1"/>
  <c r="B18" i="32"/>
  <c r="C18" i="37" s="1"/>
  <c r="B29" i="32"/>
  <c r="C29" i="37" s="1"/>
  <c r="B27" i="32"/>
  <c r="C27" i="37" s="1"/>
  <c r="B25" i="32"/>
  <c r="C25" i="37" s="1"/>
  <c r="B23" i="32"/>
  <c r="C23" i="37" s="1"/>
  <c r="B21" i="32"/>
  <c r="C21" i="37" s="1"/>
  <c r="B19" i="32"/>
  <c r="C19" i="37" s="1"/>
  <c r="B17" i="32"/>
  <c r="B151" i="12"/>
  <c r="D56" i="13"/>
  <c r="D58" s="1"/>
  <c r="L56"/>
  <c r="C54"/>
  <c r="C56"/>
  <c r="K55"/>
  <c r="K56"/>
  <c r="B56"/>
  <c r="J56"/>
  <c r="I56"/>
  <c r="I53" i="43" s="1"/>
  <c r="G56" i="13"/>
  <c r="C55"/>
  <c r="F56"/>
  <c r="E56"/>
  <c r="M56"/>
  <c r="M53" i="43" s="1"/>
  <c r="A23" i="36"/>
  <c r="A42" s="1"/>
  <c r="C15" i="17"/>
  <c r="C108" s="1"/>
  <c r="C18"/>
  <c r="C111" s="1"/>
  <c r="C19"/>
  <c r="C112" s="1"/>
  <c r="C20"/>
  <c r="C113" s="1"/>
  <c r="C21"/>
  <c r="C114" s="1"/>
  <c r="C22"/>
  <c r="C115" s="1"/>
  <c r="C23"/>
  <c r="C116" s="1"/>
  <c r="C26" i="37"/>
  <c r="C24" i="17"/>
  <c r="C117" s="1"/>
  <c r="C25"/>
  <c r="C118" s="1"/>
  <c r="C28" i="37"/>
  <c r="C26" i="17"/>
  <c r="C119" s="1"/>
  <c r="C28"/>
  <c r="C121" s="1"/>
  <c r="C31" i="37"/>
  <c r="G17" i="35"/>
  <c r="G126"/>
  <c r="G33" s="1"/>
  <c r="E33" i="16"/>
  <c r="AF18"/>
  <c r="AF19"/>
  <c r="AF20"/>
  <c r="AF21"/>
  <c r="AF22"/>
  <c r="AF23"/>
  <c r="AF24"/>
  <c r="AF25"/>
  <c r="AF26"/>
  <c r="AF27"/>
  <c r="AF28"/>
  <c r="AF29"/>
  <c r="AF30"/>
  <c r="E28" i="17"/>
  <c r="B34" i="13"/>
  <c r="D34"/>
  <c r="F34"/>
  <c r="H34"/>
  <c r="J34"/>
  <c r="O56" i="36"/>
  <c r="N56" s="1"/>
  <c r="B28" i="34"/>
  <c r="G119" i="29"/>
  <c r="G26" s="1"/>
  <c r="G121"/>
  <c r="G28" s="1"/>
  <c r="G116"/>
  <c r="G23" s="1"/>
  <c r="G118"/>
  <c r="G25" s="1"/>
  <c r="G120"/>
  <c r="G27" s="1"/>
  <c r="G122"/>
  <c r="G29" s="1"/>
  <c r="G124"/>
  <c r="G31" s="1"/>
  <c r="S108" i="13"/>
  <c r="H13" i="18"/>
  <c r="B29" i="9"/>
  <c r="F29" s="1"/>
  <c r="E19" i="35"/>
  <c r="H15" i="18" s="1"/>
  <c r="E27" i="35"/>
  <c r="H23" i="18" s="1"/>
  <c r="O59" i="13"/>
  <c r="P108"/>
  <c r="T108" s="1"/>
  <c r="B49" i="1"/>
  <c r="D49"/>
  <c r="F49"/>
  <c r="H49"/>
  <c r="J49"/>
  <c r="J48"/>
  <c r="L46"/>
  <c r="I47"/>
  <c r="K46"/>
  <c r="H48"/>
  <c r="J46"/>
  <c r="G47"/>
  <c r="I46"/>
  <c r="D48"/>
  <c r="F46"/>
  <c r="C47"/>
  <c r="E46"/>
  <c r="B46"/>
  <c r="N61" i="4"/>
  <c r="K51"/>
  <c r="J50"/>
  <c r="L49"/>
  <c r="G51"/>
  <c r="F50"/>
  <c r="H49"/>
  <c r="C51"/>
  <c r="B50"/>
  <c r="D49"/>
  <c r="E21" i="35"/>
  <c r="H17" i="18" s="1"/>
  <c r="E23" i="35"/>
  <c r="E25"/>
  <c r="H21" i="18" s="1"/>
  <c r="O61" i="4"/>
  <c r="O62" s="1"/>
  <c r="O111" s="1"/>
  <c r="T112" s="1"/>
  <c r="C52" i="2"/>
  <c r="E52"/>
  <c r="G52"/>
  <c r="I52"/>
  <c r="K52"/>
  <c r="M52"/>
  <c r="H51"/>
  <c r="J49"/>
  <c r="G50"/>
  <c r="I49"/>
  <c r="D51"/>
  <c r="F49"/>
  <c r="C50"/>
  <c r="E49"/>
  <c r="B49"/>
  <c r="C52" i="3"/>
  <c r="E52"/>
  <c r="G52"/>
  <c r="I52"/>
  <c r="K52"/>
  <c r="M52"/>
  <c r="H51"/>
  <c r="J49"/>
  <c r="G50"/>
  <c r="E50"/>
  <c r="G49"/>
  <c r="B51"/>
  <c r="D49"/>
  <c r="C49"/>
  <c r="B52" i="4"/>
  <c r="D52"/>
  <c r="F52"/>
  <c r="H52"/>
  <c r="J52"/>
  <c r="L51"/>
  <c r="J51"/>
  <c r="I50"/>
  <c r="K49"/>
  <c r="F51"/>
  <c r="E50"/>
  <c r="G49"/>
  <c r="B51"/>
  <c r="C49"/>
  <c r="B52" i="5"/>
  <c r="D52"/>
  <c r="F52"/>
  <c r="H52"/>
  <c r="J52"/>
  <c r="L52"/>
  <c r="J50"/>
  <c r="L49"/>
  <c r="I51"/>
  <c r="K49"/>
  <c r="F50"/>
  <c r="H49"/>
  <c r="E51"/>
  <c r="G49"/>
  <c r="B50"/>
  <c r="D49"/>
  <c r="C49"/>
  <c r="E29" i="35"/>
  <c r="E31"/>
  <c r="H27" i="18" s="1"/>
  <c r="P111" i="5"/>
  <c r="T111" s="1"/>
  <c r="D110" i="8" s="1"/>
  <c r="E110" s="1"/>
  <c r="D17"/>
  <c r="O62" i="2"/>
  <c r="P111"/>
  <c r="T111" s="1"/>
  <c r="O62" i="3"/>
  <c r="P111"/>
  <c r="T111" s="1"/>
  <c r="D110" i="7" s="1"/>
  <c r="O62" i="5"/>
  <c r="N62" s="1"/>
  <c r="M62" s="1"/>
  <c r="C49" i="1"/>
  <c r="E49"/>
  <c r="G49"/>
  <c r="I49"/>
  <c r="K49"/>
  <c r="M49"/>
  <c r="F48"/>
  <c r="H46"/>
  <c r="E47"/>
  <c r="G46"/>
  <c r="B48"/>
  <c r="D46"/>
  <c r="C46"/>
  <c r="O59"/>
  <c r="O108" s="1"/>
  <c r="T109" s="1"/>
  <c r="P108"/>
  <c r="T108" s="1"/>
  <c r="L54" i="13"/>
  <c r="A18" i="9"/>
  <c r="A17" s="1"/>
  <c r="A16" s="1"/>
  <c r="A15" s="1"/>
  <c r="A14" s="1"/>
  <c r="A13" s="1"/>
  <c r="C33" i="16"/>
  <c r="D19"/>
  <c r="D19" i="37" s="1"/>
  <c r="D20" i="16"/>
  <c r="D20" i="37" s="1"/>
  <c r="D28" i="16"/>
  <c r="D28" i="37" s="1"/>
  <c r="D30" i="16"/>
  <c r="D30" i="37" s="1"/>
  <c r="G59" i="16"/>
  <c r="B29" i="18"/>
  <c r="N34" i="13"/>
  <c r="B35"/>
  <c r="D35"/>
  <c r="F35"/>
  <c r="H35"/>
  <c r="J35"/>
  <c r="L35"/>
  <c r="C36"/>
  <c r="E36"/>
  <c r="G36"/>
  <c r="I36"/>
  <c r="K36"/>
  <c r="C37"/>
  <c r="E37"/>
  <c r="G55"/>
  <c r="I37"/>
  <c r="K37"/>
  <c r="B38"/>
  <c r="D38"/>
  <c r="F38"/>
  <c r="H54"/>
  <c r="J38"/>
  <c r="B39"/>
  <c r="D39"/>
  <c r="F39"/>
  <c r="H39"/>
  <c r="C40"/>
  <c r="E40"/>
  <c r="G40"/>
  <c r="E41"/>
  <c r="G41"/>
  <c r="B42"/>
  <c r="D54"/>
  <c r="F42"/>
  <c r="B43"/>
  <c r="D43"/>
  <c r="C44"/>
  <c r="C45"/>
  <c r="B46"/>
  <c r="D24" i="16"/>
  <c r="D24" i="37" s="1"/>
  <c r="C29" i="18"/>
  <c r="C14" i="17"/>
  <c r="C107" s="1"/>
  <c r="C16"/>
  <c r="C109" s="1"/>
  <c r="E15"/>
  <c r="E108" s="1"/>
  <c r="E17"/>
  <c r="E110" s="1"/>
  <c r="E19"/>
  <c r="E21"/>
  <c r="E114" s="1"/>
  <c r="E23"/>
  <c r="E25"/>
  <c r="E118" s="1"/>
  <c r="E27"/>
  <c r="E120" s="1"/>
  <c r="B33" i="8"/>
  <c r="C31" i="10"/>
  <c r="C17" i="17"/>
  <c r="C110" s="1"/>
  <c r="C27"/>
  <c r="C120" s="1"/>
  <c r="E14"/>
  <c r="E107" s="1"/>
  <c r="E16"/>
  <c r="E109" s="1"/>
  <c r="E18"/>
  <c r="E20"/>
  <c r="E22"/>
  <c r="E24"/>
  <c r="E26"/>
  <c r="B47" i="36"/>
  <c r="D47"/>
  <c r="F47"/>
  <c r="H47"/>
  <c r="J47"/>
  <c r="L47"/>
  <c r="C48"/>
  <c r="E48"/>
  <c r="G48"/>
  <c r="I48"/>
  <c r="K48"/>
  <c r="L49"/>
  <c r="M46"/>
  <c r="K47"/>
  <c r="A23" i="1"/>
  <c r="A42" s="1"/>
  <c r="N59"/>
  <c r="C33" i="7"/>
  <c r="F14" i="9"/>
  <c r="F15"/>
  <c r="F16"/>
  <c r="F17"/>
  <c r="F18"/>
  <c r="F19"/>
  <c r="F20"/>
  <c r="F21"/>
  <c r="F22"/>
  <c r="F23"/>
  <c r="F24"/>
  <c r="F25"/>
  <c r="F26"/>
  <c r="E18" i="35"/>
  <c r="E20"/>
  <c r="E22"/>
  <c r="E24"/>
  <c r="E26"/>
  <c r="E28"/>
  <c r="E30"/>
  <c r="E17" i="8"/>
  <c r="G17" s="1"/>
  <c r="F27" i="9"/>
  <c r="H58" i="13"/>
  <c r="J58"/>
  <c r="N54"/>
  <c r="C34"/>
  <c r="E34"/>
  <c r="G34"/>
  <c r="I34"/>
  <c r="K34"/>
  <c r="M34"/>
  <c r="C35"/>
  <c r="E35"/>
  <c r="G35"/>
  <c r="I55"/>
  <c r="K54"/>
  <c r="M35"/>
  <c r="B36"/>
  <c r="D36"/>
  <c r="F36"/>
  <c r="H55"/>
  <c r="J54"/>
  <c r="L36"/>
  <c r="B37"/>
  <c r="D37"/>
  <c r="F37"/>
  <c r="H37"/>
  <c r="J37"/>
  <c r="C38"/>
  <c r="E38"/>
  <c r="G38"/>
  <c r="I38"/>
  <c r="C39"/>
  <c r="E55"/>
  <c r="G54"/>
  <c r="I39"/>
  <c r="B40"/>
  <c r="D55"/>
  <c r="F54"/>
  <c r="H40"/>
  <c r="B41"/>
  <c r="D41"/>
  <c r="F41"/>
  <c r="C42"/>
  <c r="E42"/>
  <c r="E43"/>
  <c r="D44"/>
  <c r="B45"/>
  <c r="D22" i="16"/>
  <c r="D22" i="37" s="1"/>
  <c r="D26" i="16"/>
  <c r="D26" i="37" s="1"/>
  <c r="D31" i="16"/>
  <c r="D31" i="37" s="1"/>
  <c r="A26" i="5"/>
  <c r="A45" s="1"/>
  <c r="D17" i="16"/>
  <c r="D17" i="37" s="1"/>
  <c r="D21" i="16"/>
  <c r="D21" i="37" s="1"/>
  <c r="D23" i="16"/>
  <c r="D23" i="37" s="1"/>
  <c r="D25" i="16"/>
  <c r="D25" i="37" s="1"/>
  <c r="D27" i="16"/>
  <c r="D27" i="37" s="1"/>
  <c r="D29" i="16"/>
  <c r="D29" i="37" s="1"/>
  <c r="G33" i="16"/>
  <c r="D18"/>
  <c r="D18" i="37" s="1"/>
  <c r="A26" i="31"/>
  <c r="A51"/>
  <c r="A23" i="12"/>
  <c r="A45" i="13"/>
  <c r="A25"/>
  <c r="B33"/>
  <c r="D33"/>
  <c r="F33"/>
  <c r="H33"/>
  <c r="J33"/>
  <c r="L33"/>
  <c r="N33"/>
  <c r="I35"/>
  <c r="K35"/>
  <c r="H36"/>
  <c r="J36"/>
  <c r="E39"/>
  <c r="G39"/>
  <c r="D40"/>
  <c r="F40"/>
  <c r="C43"/>
  <c r="B44"/>
  <c r="E54"/>
  <c r="I54"/>
  <c r="M54"/>
  <c r="B55"/>
  <c r="F55"/>
  <c r="J55"/>
  <c r="N58"/>
  <c r="C33"/>
  <c r="E33"/>
  <c r="G33"/>
  <c r="I33"/>
  <c r="K33"/>
  <c r="M33"/>
  <c r="O33"/>
  <c r="O52" s="1"/>
  <c r="L34"/>
  <c r="G37"/>
  <c r="H38"/>
  <c r="C41"/>
  <c r="D42"/>
  <c r="F13" i="9"/>
  <c r="A46" i="2"/>
  <c r="A26" i="4"/>
  <c r="A45" s="1"/>
  <c r="C33" i="8"/>
  <c r="C33" i="35"/>
  <c r="M49" i="5"/>
  <c r="C50"/>
  <c r="E50"/>
  <c r="G50"/>
  <c r="I50"/>
  <c r="K50"/>
  <c r="B51"/>
  <c r="D51"/>
  <c r="F51"/>
  <c r="H51"/>
  <c r="J51"/>
  <c r="L51"/>
  <c r="K52"/>
  <c r="L50"/>
  <c r="B49" i="4"/>
  <c r="F49"/>
  <c r="J49"/>
  <c r="D50"/>
  <c r="H50"/>
  <c r="L50"/>
  <c r="E51"/>
  <c r="I51"/>
  <c r="L52"/>
  <c r="M49"/>
  <c r="K50"/>
  <c r="A45" i="3"/>
  <c r="A25"/>
  <c r="A46"/>
  <c r="B50"/>
  <c r="D50"/>
  <c r="F50"/>
  <c r="H50"/>
  <c r="J50"/>
  <c r="L50"/>
  <c r="C51"/>
  <c r="E51"/>
  <c r="G51"/>
  <c r="I51"/>
  <c r="K51"/>
  <c r="L52"/>
  <c r="M49"/>
  <c r="K50"/>
  <c r="B50" i="2"/>
  <c r="D50"/>
  <c r="F50"/>
  <c r="H50"/>
  <c r="J50"/>
  <c r="L50"/>
  <c r="C51"/>
  <c r="E51"/>
  <c r="G51"/>
  <c r="I51"/>
  <c r="K51"/>
  <c r="L52"/>
  <c r="A25"/>
  <c r="M49"/>
  <c r="K50"/>
  <c r="B47" i="1"/>
  <c r="D47"/>
  <c r="F47"/>
  <c r="H47"/>
  <c r="J47"/>
  <c r="C48"/>
  <c r="E48"/>
  <c r="G48"/>
  <c r="I48"/>
  <c r="K48"/>
  <c r="L49"/>
  <c r="M46"/>
  <c r="K47"/>
  <c r="D110" i="44" l="1"/>
  <c r="D17"/>
  <c r="C110"/>
  <c r="C17"/>
  <c r="H51" i="12"/>
  <c r="H51" i="43"/>
  <c r="E52" i="12"/>
  <c r="E52" i="43"/>
  <c r="C52"/>
  <c r="C152"/>
  <c r="C151"/>
  <c r="C51"/>
  <c r="D153"/>
  <c r="D53"/>
  <c r="E51" i="12"/>
  <c r="E51" i="43"/>
  <c r="G51" i="12"/>
  <c r="G51" i="43"/>
  <c r="G52" i="12"/>
  <c r="G52" i="43"/>
  <c r="F53" i="12"/>
  <c r="F53" i="43"/>
  <c r="C53"/>
  <c r="C153"/>
  <c r="L53" i="12"/>
  <c r="L53" i="43"/>
  <c r="I51" i="12"/>
  <c r="I51" i="43"/>
  <c r="L51" i="12"/>
  <c r="L51" i="43"/>
  <c r="E53" i="12"/>
  <c r="E53" i="43"/>
  <c r="K52" i="12"/>
  <c r="K52" i="43"/>
  <c r="L58" i="13"/>
  <c r="G53" i="12"/>
  <c r="G53" i="43"/>
  <c r="M51" i="12"/>
  <c r="M51" i="43"/>
  <c r="H52" i="12"/>
  <c r="H52" i="43"/>
  <c r="D51"/>
  <c r="D151"/>
  <c r="K53" i="12"/>
  <c r="K53" i="43"/>
  <c r="O49" i="12"/>
  <c r="O49" i="43"/>
  <c r="B52"/>
  <c r="B152"/>
  <c r="D152"/>
  <c r="D52"/>
  <c r="J51" i="12"/>
  <c r="J51" i="43"/>
  <c r="B58" i="13"/>
  <c r="B53" i="43"/>
  <c r="B153"/>
  <c r="J52" i="12"/>
  <c r="J52" i="43"/>
  <c r="K51" i="12"/>
  <c r="K51" i="43"/>
  <c r="F52" i="12"/>
  <c r="F52" i="43"/>
  <c r="F51" i="12"/>
  <c r="F51" i="43"/>
  <c r="I52" i="12"/>
  <c r="I52" i="43"/>
  <c r="J53" i="12"/>
  <c r="J53" i="43"/>
  <c r="A22" i="1"/>
  <c r="A41" s="1"/>
  <c r="M58" i="13"/>
  <c r="M53" i="12"/>
  <c r="D126" i="6"/>
  <c r="G111" i="29"/>
  <c r="G18" s="1"/>
  <c r="G33" i="41"/>
  <c r="D26" i="38"/>
  <c r="D28"/>
  <c r="D30"/>
  <c r="D23"/>
  <c r="D18"/>
  <c r="D24"/>
  <c r="D29"/>
  <c r="E111" i="6"/>
  <c r="F111" s="1"/>
  <c r="E111" i="38"/>
  <c r="E18" s="1"/>
  <c r="E111" i="41"/>
  <c r="E18" s="1"/>
  <c r="E109" i="10"/>
  <c r="D31" i="38"/>
  <c r="D20"/>
  <c r="D22"/>
  <c r="E110" i="6"/>
  <c r="F110" s="1"/>
  <c r="E110" i="41"/>
  <c r="E17" s="1"/>
  <c r="E110" i="38"/>
  <c r="E17" s="1"/>
  <c r="E108" i="10"/>
  <c r="D25" i="38"/>
  <c r="D27"/>
  <c r="D21"/>
  <c r="G126" i="41"/>
  <c r="D17" i="38"/>
  <c r="D126"/>
  <c r="D33" s="1"/>
  <c r="D19"/>
  <c r="E20" i="37"/>
  <c r="M52" i="13"/>
  <c r="F49"/>
  <c r="N52"/>
  <c r="L49"/>
  <c r="F58"/>
  <c r="H49"/>
  <c r="K58"/>
  <c r="I52"/>
  <c r="D49"/>
  <c r="G49"/>
  <c r="C108" i="14"/>
  <c r="C15"/>
  <c r="B33" i="32"/>
  <c r="D17" i="7"/>
  <c r="E17" s="1"/>
  <c r="E110"/>
  <c r="F110" s="1"/>
  <c r="B49" i="13"/>
  <c r="E19" i="37"/>
  <c r="E30"/>
  <c r="C17"/>
  <c r="C33" s="1"/>
  <c r="C49" i="13"/>
  <c r="C151" i="12"/>
  <c r="D151"/>
  <c r="C152"/>
  <c r="D152"/>
  <c r="C52" i="13"/>
  <c r="K49"/>
  <c r="E58"/>
  <c r="I58"/>
  <c r="I53" i="12"/>
  <c r="D153"/>
  <c r="G58" i="13"/>
  <c r="C58"/>
  <c r="C153" i="12"/>
  <c r="B152"/>
  <c r="D108" i="14"/>
  <c r="B153" i="12"/>
  <c r="B52" i="13"/>
  <c r="E52"/>
  <c r="D52"/>
  <c r="G52"/>
  <c r="J49"/>
  <c r="F52"/>
  <c r="H52"/>
  <c r="J52"/>
  <c r="L52"/>
  <c r="L50"/>
  <c r="K52"/>
  <c r="D19" i="17"/>
  <c r="D112" s="1"/>
  <c r="E112"/>
  <c r="D28"/>
  <c r="D121" s="1"/>
  <c r="E121"/>
  <c r="D23"/>
  <c r="D116" s="1"/>
  <c r="E116"/>
  <c r="D18"/>
  <c r="D111" s="1"/>
  <c r="E111"/>
  <c r="A22" i="36"/>
  <c r="A41" s="1"/>
  <c r="D20" i="17"/>
  <c r="D113" s="1"/>
  <c r="E113"/>
  <c r="C123"/>
  <c r="D22"/>
  <c r="D115" s="1"/>
  <c r="E115"/>
  <c r="D24"/>
  <c r="D117" s="1"/>
  <c r="E117"/>
  <c r="D26"/>
  <c r="D119" s="1"/>
  <c r="E119"/>
  <c r="E28" i="37"/>
  <c r="E24"/>
  <c r="E18"/>
  <c r="E29"/>
  <c r="E25"/>
  <c r="E21"/>
  <c r="E31"/>
  <c r="E26"/>
  <c r="E22"/>
  <c r="E27"/>
  <c r="E23"/>
  <c r="D25" i="17"/>
  <c r="D118" s="1"/>
  <c r="D15"/>
  <c r="D108" s="1"/>
  <c r="D21"/>
  <c r="D114" s="1"/>
  <c r="F31" i="9"/>
  <c r="G110" i="8"/>
  <c r="F110"/>
  <c r="O105" i="36"/>
  <c r="T106" s="1"/>
  <c r="I27" i="18"/>
  <c r="I21"/>
  <c r="I15"/>
  <c r="I13"/>
  <c r="D33" i="37"/>
  <c r="I23" i="18"/>
  <c r="I17"/>
  <c r="M56" i="36"/>
  <c r="N105"/>
  <c r="T107" s="1"/>
  <c r="B27" i="34"/>
  <c r="G17" i="29"/>
  <c r="N59" i="13"/>
  <c r="O108"/>
  <c r="T109" s="1"/>
  <c r="A25" i="4"/>
  <c r="A44" s="1"/>
  <c r="H25" i="18"/>
  <c r="A25" i="5"/>
  <c r="A24" s="1"/>
  <c r="H19" i="18"/>
  <c r="N62" i="4"/>
  <c r="L62" i="5"/>
  <c r="M111"/>
  <c r="T114" s="1"/>
  <c r="D113" i="8" s="1"/>
  <c r="E113" s="1"/>
  <c r="D20"/>
  <c r="O111" i="5"/>
  <c r="T112" s="1"/>
  <c r="D111" i="8" s="1"/>
  <c r="E111" s="1"/>
  <c r="D18"/>
  <c r="N62" i="3"/>
  <c r="O111"/>
  <c r="T112" s="1"/>
  <c r="D111" i="7" s="1"/>
  <c r="N62" i="2"/>
  <c r="O111"/>
  <c r="T112" s="1"/>
  <c r="N111" i="5"/>
  <c r="T113" s="1"/>
  <c r="D112" i="8" s="1"/>
  <c r="E112" s="1"/>
  <c r="D19"/>
  <c r="M59" i="1"/>
  <c r="N108"/>
  <c r="T110" s="1"/>
  <c r="D14" i="17"/>
  <c r="D107" s="1"/>
  <c r="I49" i="13"/>
  <c r="E30" i="17"/>
  <c r="D27"/>
  <c r="D120" s="1"/>
  <c r="C30"/>
  <c r="E49" i="13"/>
  <c r="E33" i="35"/>
  <c r="D17" i="17"/>
  <c r="D110" s="1"/>
  <c r="D16"/>
  <c r="D109" s="1"/>
  <c r="H24" i="18"/>
  <c r="H20"/>
  <c r="H16"/>
  <c r="H26"/>
  <c r="H22"/>
  <c r="H18"/>
  <c r="H14"/>
  <c r="D33" i="16"/>
  <c r="A50" i="31"/>
  <c r="A74"/>
  <c r="A25"/>
  <c r="M49" i="13"/>
  <c r="D51"/>
  <c r="D50"/>
  <c r="E50"/>
  <c r="E51"/>
  <c r="H51"/>
  <c r="H50"/>
  <c r="I50"/>
  <c r="I51"/>
  <c r="B51"/>
  <c r="F51"/>
  <c r="J51"/>
  <c r="C50"/>
  <c r="C51"/>
  <c r="G50"/>
  <c r="G51"/>
  <c r="K50"/>
  <c r="K51"/>
  <c r="A44"/>
  <c r="A24"/>
  <c r="A42" i="12"/>
  <c r="A22"/>
  <c r="B50" i="13"/>
  <c r="F50"/>
  <c r="J50"/>
  <c r="A24" i="4"/>
  <c r="A44" i="3"/>
  <c r="A24"/>
  <c r="A44" i="2"/>
  <c r="A24"/>
  <c r="G126" i="29" l="1"/>
  <c r="G33" s="1"/>
  <c r="E110" i="44"/>
  <c r="E17"/>
  <c r="F17" s="1"/>
  <c r="D111"/>
  <c r="E111" s="1"/>
  <c r="D18"/>
  <c r="E18" s="1"/>
  <c r="F18" s="1"/>
  <c r="A21" i="1"/>
  <c r="B25" i="34" s="1"/>
  <c r="B47" i="43"/>
  <c r="B147"/>
  <c r="G48" i="12"/>
  <c r="G48" i="43"/>
  <c r="K49" i="12"/>
  <c r="K49" i="43"/>
  <c r="K47" i="12"/>
  <c r="K47" i="43"/>
  <c r="I48" i="12"/>
  <c r="I48" i="43"/>
  <c r="M46" i="12"/>
  <c r="M46" i="43"/>
  <c r="G49" i="12"/>
  <c r="G49" i="43"/>
  <c r="C149" i="12"/>
  <c r="C49" i="43"/>
  <c r="C149"/>
  <c r="D146"/>
  <c r="D46"/>
  <c r="M49" i="12"/>
  <c r="M49" i="43"/>
  <c r="E49" i="12"/>
  <c r="E49" i="43"/>
  <c r="I47" i="12"/>
  <c r="I47" i="43"/>
  <c r="B148"/>
  <c r="B48"/>
  <c r="J46" i="12"/>
  <c r="J46" i="43"/>
  <c r="K46" i="12"/>
  <c r="K46" i="43"/>
  <c r="G46" i="12"/>
  <c r="G46" i="43"/>
  <c r="F46" i="12"/>
  <c r="F46" i="43"/>
  <c r="H47" i="12"/>
  <c r="H47" i="43"/>
  <c r="F47" i="12"/>
  <c r="F47" i="43"/>
  <c r="D148"/>
  <c r="D48"/>
  <c r="E46" i="12"/>
  <c r="E46" i="43"/>
  <c r="F48" i="12"/>
  <c r="F48" i="43"/>
  <c r="D147"/>
  <c r="D47"/>
  <c r="F49" i="12"/>
  <c r="F49" i="43"/>
  <c r="N49" i="12"/>
  <c r="N49" i="43"/>
  <c r="B26" i="34"/>
  <c r="B46" i="43"/>
  <c r="B146"/>
  <c r="J48" i="12"/>
  <c r="J48" i="43"/>
  <c r="E47" i="12"/>
  <c r="E47" i="43"/>
  <c r="H49" i="12"/>
  <c r="H49" i="43"/>
  <c r="C46"/>
  <c r="C146"/>
  <c r="L46" i="12"/>
  <c r="L46" i="43"/>
  <c r="G47" i="12"/>
  <c r="G47" i="43"/>
  <c r="I49" i="12"/>
  <c r="I49" i="43"/>
  <c r="K48" i="12"/>
  <c r="K48" i="43"/>
  <c r="E48" i="12"/>
  <c r="E48" i="43"/>
  <c r="J49" i="12"/>
  <c r="J49" i="43"/>
  <c r="D49"/>
  <c r="D149"/>
  <c r="J47" i="12"/>
  <c r="J47" i="43"/>
  <c r="C147"/>
  <c r="C47"/>
  <c r="C148"/>
  <c r="C48"/>
  <c r="H48" i="12"/>
  <c r="H48" i="43"/>
  <c r="I46" i="12"/>
  <c r="I46" i="43"/>
  <c r="L49" i="12"/>
  <c r="L49" i="43"/>
  <c r="B149"/>
  <c r="B49"/>
  <c r="H46" i="12"/>
  <c r="H46" i="43"/>
  <c r="D146" i="12"/>
  <c r="F111" i="38"/>
  <c r="E112" i="6"/>
  <c r="F112" s="1"/>
  <c r="E112" i="41"/>
  <c r="E19" s="1"/>
  <c r="E112" i="38"/>
  <c r="E110" i="10"/>
  <c r="F110" i="38"/>
  <c r="E108" i="14"/>
  <c r="E15"/>
  <c r="C146" i="12"/>
  <c r="C110" i="39"/>
  <c r="C106" i="9"/>
  <c r="E106" s="1"/>
  <c r="C107"/>
  <c r="C111" i="39"/>
  <c r="E111" s="1"/>
  <c r="A44" i="5"/>
  <c r="B146" i="12"/>
  <c r="D18" i="7"/>
  <c r="E18" s="1"/>
  <c r="E111"/>
  <c r="F17"/>
  <c r="D17" i="32"/>
  <c r="E17" i="37"/>
  <c r="E33" s="1"/>
  <c r="C148" i="12"/>
  <c r="C147"/>
  <c r="D147"/>
  <c r="D148"/>
  <c r="D149"/>
  <c r="B147"/>
  <c r="B148"/>
  <c r="B149"/>
  <c r="D109" i="14"/>
  <c r="E109" s="1"/>
  <c r="E16"/>
  <c r="E123" i="17"/>
  <c r="D123"/>
  <c r="A21" i="36"/>
  <c r="A40" s="1"/>
  <c r="F112" i="8"/>
  <c r="F19" s="1"/>
  <c r="G112"/>
  <c r="F111"/>
  <c r="F18" s="1"/>
  <c r="G111"/>
  <c r="G113"/>
  <c r="F113"/>
  <c r="F20" s="1"/>
  <c r="F17"/>
  <c r="G31" i="10"/>
  <c r="G124"/>
  <c r="I14" i="18"/>
  <c r="I22"/>
  <c r="I16"/>
  <c r="I24"/>
  <c r="I18"/>
  <c r="I26"/>
  <c r="I20"/>
  <c r="I19"/>
  <c r="I25"/>
  <c r="L56" i="36"/>
  <c r="M105"/>
  <c r="T108" s="1"/>
  <c r="G110" i="6"/>
  <c r="G111"/>
  <c r="H111"/>
  <c r="E19" i="8"/>
  <c r="G19" s="1"/>
  <c r="E18"/>
  <c r="G18" s="1"/>
  <c r="E20"/>
  <c r="G20" s="1"/>
  <c r="M59" i="13"/>
  <c r="N108"/>
  <c r="T110" s="1"/>
  <c r="N111" i="4"/>
  <c r="T113" s="1"/>
  <c r="M62"/>
  <c r="K62" i="5"/>
  <c r="L111"/>
  <c r="T115" s="1"/>
  <c r="D114" i="8" s="1"/>
  <c r="E114" s="1"/>
  <c r="D21"/>
  <c r="M62" i="2"/>
  <c r="N111"/>
  <c r="T113" s="1"/>
  <c r="M62" i="3"/>
  <c r="N111"/>
  <c r="T113" s="1"/>
  <c r="D112" i="7" s="1"/>
  <c r="L59" i="1"/>
  <c r="M108"/>
  <c r="T111" s="1"/>
  <c r="D30" i="17"/>
  <c r="H29" i="18"/>
  <c r="A49" i="31"/>
  <c r="A24"/>
  <c r="A73"/>
  <c r="A41" i="12"/>
  <c r="A21"/>
  <c r="A43" i="13"/>
  <c r="A23"/>
  <c r="A43" i="5"/>
  <c r="A23"/>
  <c r="A23" i="4"/>
  <c r="A43"/>
  <c r="A43" i="3"/>
  <c r="A23"/>
  <c r="A23" i="2"/>
  <c r="A43"/>
  <c r="A40" i="1" l="1"/>
  <c r="A20"/>
  <c r="B24" i="34" s="1"/>
  <c r="D19" i="44"/>
  <c r="E19" s="1"/>
  <c r="F19" s="1"/>
  <c r="D112"/>
  <c r="E112" s="1"/>
  <c r="E46" i="32"/>
  <c r="F16" i="14"/>
  <c r="E45" i="32"/>
  <c r="F15" i="14"/>
  <c r="G111" i="38"/>
  <c r="G18" s="1"/>
  <c r="F18"/>
  <c r="C18" i="39" s="1"/>
  <c r="E18" s="1"/>
  <c r="G18" s="1"/>
  <c r="H18" s="1"/>
  <c r="H111" i="38"/>
  <c r="H18" s="1"/>
  <c r="E19"/>
  <c r="F112"/>
  <c r="E113" i="6"/>
  <c r="F113" s="1"/>
  <c r="G113" s="1"/>
  <c r="E113" i="41"/>
  <c r="E20" s="1"/>
  <c r="E113" i="38"/>
  <c r="E111" i="10"/>
  <c r="H110" i="38"/>
  <c r="H17" s="1"/>
  <c r="F17"/>
  <c r="C17" i="39" s="1"/>
  <c r="G110" i="38"/>
  <c r="G112" i="6"/>
  <c r="C112" i="39"/>
  <c r="E112" s="1"/>
  <c r="C108" i="9"/>
  <c r="E110" i="39"/>
  <c r="F111" i="7"/>
  <c r="D19"/>
  <c r="E19" s="1"/>
  <c r="E112"/>
  <c r="F112" s="1"/>
  <c r="F18"/>
  <c r="D18" i="32"/>
  <c r="D110" i="14"/>
  <c r="E110" s="1"/>
  <c r="E17"/>
  <c r="E107" i="9"/>
  <c r="A20" i="36"/>
  <c r="A39" s="1"/>
  <c r="F114" i="8"/>
  <c r="F21" s="1"/>
  <c r="G114"/>
  <c r="E14" i="9"/>
  <c r="E13"/>
  <c r="K56" i="36"/>
  <c r="L105"/>
  <c r="T109" s="1"/>
  <c r="H112" i="6"/>
  <c r="E21" i="8"/>
  <c r="G21" s="1"/>
  <c r="L59" i="13"/>
  <c r="M108"/>
  <c r="T111" s="1"/>
  <c r="M111" i="4"/>
  <c r="T114" s="1"/>
  <c r="L62"/>
  <c r="L62" i="3"/>
  <c r="M111"/>
  <c r="T114" s="1"/>
  <c r="D113" i="7" s="1"/>
  <c r="L62" i="2"/>
  <c r="M111"/>
  <c r="T114" s="1"/>
  <c r="J62" i="5"/>
  <c r="K111"/>
  <c r="T116" s="1"/>
  <c r="D115" i="8" s="1"/>
  <c r="E115" s="1"/>
  <c r="D22"/>
  <c r="K59" i="1"/>
  <c r="L108"/>
  <c r="T112" s="1"/>
  <c r="I29" i="18"/>
  <c r="A72" i="31"/>
  <c r="A23"/>
  <c r="A48"/>
  <c r="A22" i="13"/>
  <c r="A42"/>
  <c r="A40" i="12"/>
  <c r="A20"/>
  <c r="A42" i="5"/>
  <c r="A22"/>
  <c r="A42" i="4"/>
  <c r="A22"/>
  <c r="A22" i="3"/>
  <c r="A42"/>
  <c r="A42" i="2"/>
  <c r="A22"/>
  <c r="A19" i="1" l="1"/>
  <c r="A38" s="1"/>
  <c r="A39"/>
  <c r="D113" i="44"/>
  <c r="E113" s="1"/>
  <c r="D20"/>
  <c r="E20" s="1"/>
  <c r="F20" s="1"/>
  <c r="E47" i="32"/>
  <c r="F17" i="14"/>
  <c r="E17" i="39"/>
  <c r="G17" s="1"/>
  <c r="H17" s="1"/>
  <c r="G17" i="38"/>
  <c r="E114" i="6"/>
  <c r="F114" s="1"/>
  <c r="G114" s="1"/>
  <c r="E114" i="41"/>
  <c r="E21" s="1"/>
  <c r="E114" i="38"/>
  <c r="E112" i="10"/>
  <c r="G112" i="38"/>
  <c r="G19" s="1"/>
  <c r="F19"/>
  <c r="C19" i="39" s="1"/>
  <c r="E19" s="1"/>
  <c r="G19" s="1"/>
  <c r="H19" s="1"/>
  <c r="D17" i="41" s="1"/>
  <c r="H112" i="38"/>
  <c r="H19" s="1"/>
  <c r="E20"/>
  <c r="F113"/>
  <c r="C109" i="9"/>
  <c r="E109" s="1"/>
  <c r="C113" i="39"/>
  <c r="D20" i="7"/>
  <c r="E20" s="1"/>
  <c r="E113"/>
  <c r="F113" s="1"/>
  <c r="F19"/>
  <c r="D19" i="32"/>
  <c r="D111" i="14"/>
  <c r="E111" s="1"/>
  <c r="E18"/>
  <c r="E108" i="9"/>
  <c r="F46" i="16"/>
  <c r="A19" i="36"/>
  <c r="A38" s="1"/>
  <c r="F115" i="8"/>
  <c r="G115"/>
  <c r="E16" i="9"/>
  <c r="H13"/>
  <c r="D110" i="41" s="1"/>
  <c r="D110" i="11"/>
  <c r="D111"/>
  <c r="H14" i="9"/>
  <c r="D111" i="41" s="1"/>
  <c r="H113" i="6"/>
  <c r="J56" i="36"/>
  <c r="K105"/>
  <c r="T110" s="1"/>
  <c r="E22" i="8"/>
  <c r="G22" s="1"/>
  <c r="K59" i="13"/>
  <c r="L108"/>
  <c r="T112" s="1"/>
  <c r="L111" i="4"/>
  <c r="T115" s="1"/>
  <c r="K62"/>
  <c r="I62" i="5"/>
  <c r="J111"/>
  <c r="T117" s="1"/>
  <c r="D116" i="8" s="1"/>
  <c r="E116" s="1"/>
  <c r="D23"/>
  <c r="K62" i="2"/>
  <c r="L111"/>
  <c r="T115" s="1"/>
  <c r="K62" i="3"/>
  <c r="L111"/>
  <c r="T115" s="1"/>
  <c r="D114" i="7" s="1"/>
  <c r="J59" i="1"/>
  <c r="K108"/>
  <c r="T113" s="1"/>
  <c r="A71" i="31"/>
  <c r="A47"/>
  <c r="A22"/>
  <c r="A41" i="13"/>
  <c r="A21"/>
  <c r="A39" i="12"/>
  <c r="A19"/>
  <c r="A41" i="5"/>
  <c r="A21"/>
  <c r="A41" i="4"/>
  <c r="A21"/>
  <c r="A41" i="3"/>
  <c r="A21"/>
  <c r="A41" i="2"/>
  <c r="A21"/>
  <c r="A18" i="1" l="1"/>
  <c r="A37" s="1"/>
  <c r="B23" i="34"/>
  <c r="D114" i="44"/>
  <c r="E114" s="1"/>
  <c r="D21"/>
  <c r="E21" s="1"/>
  <c r="F21" s="1"/>
  <c r="E48" i="32"/>
  <c r="F18" i="14"/>
  <c r="E115" i="6"/>
  <c r="F115" s="1"/>
  <c r="E115" i="41"/>
  <c r="E22" s="1"/>
  <c r="E115" i="38"/>
  <c r="E113" i="10"/>
  <c r="H113" i="38"/>
  <c r="H20" s="1"/>
  <c r="G113"/>
  <c r="G20" s="1"/>
  <c r="F20"/>
  <c r="C20" i="39" s="1"/>
  <c r="E20" s="1"/>
  <c r="G20" s="1"/>
  <c r="H20" s="1"/>
  <c r="D18" i="41" s="1"/>
  <c r="E21" i="38"/>
  <c r="F114"/>
  <c r="F111" i="41"/>
  <c r="F110"/>
  <c r="E17" i="9"/>
  <c r="C114" i="39"/>
  <c r="E114" s="1"/>
  <c r="C110" i="9"/>
  <c r="E110" s="1"/>
  <c r="E113" i="39"/>
  <c r="D21" i="7"/>
  <c r="E21" s="1"/>
  <c r="E114"/>
  <c r="F114" s="1"/>
  <c r="F20"/>
  <c r="D20" i="32"/>
  <c r="D112" i="14"/>
  <c r="E112" s="1"/>
  <c r="E19"/>
  <c r="A18" i="36"/>
  <c r="A37" s="1"/>
  <c r="D109" i="10"/>
  <c r="H18" i="16"/>
  <c r="F47"/>
  <c r="D108" i="10"/>
  <c r="H17" i="16"/>
  <c r="F48"/>
  <c r="F116" i="8"/>
  <c r="F23" s="1"/>
  <c r="G116"/>
  <c r="F22"/>
  <c r="F111" i="11"/>
  <c r="D18"/>
  <c r="F18" s="1"/>
  <c r="E15" i="9"/>
  <c r="F110" i="11"/>
  <c r="D17"/>
  <c r="F17" s="1"/>
  <c r="H16" i="9"/>
  <c r="D113" i="41" s="1"/>
  <c r="D113" i="11"/>
  <c r="I56" i="36"/>
  <c r="J105"/>
  <c r="T111" s="1"/>
  <c r="H114" i="6"/>
  <c r="E23" i="8"/>
  <c r="G23" s="1"/>
  <c r="J59" i="13"/>
  <c r="K108"/>
  <c r="T113" s="1"/>
  <c r="K111" i="4"/>
  <c r="T116" s="1"/>
  <c r="J62"/>
  <c r="J62" i="3"/>
  <c r="K111"/>
  <c r="T116" s="1"/>
  <c r="D115" i="7" s="1"/>
  <c r="J62" i="2"/>
  <c r="K111"/>
  <c r="T116" s="1"/>
  <c r="H62" i="5"/>
  <c r="I111"/>
  <c r="T118" s="1"/>
  <c r="D117" i="8" s="1"/>
  <c r="E117" s="1"/>
  <c r="D24"/>
  <c r="I59" i="1"/>
  <c r="J108"/>
  <c r="T114" s="1"/>
  <c r="A46" i="31"/>
  <c r="A70"/>
  <c r="A21"/>
  <c r="A38" i="12"/>
  <c r="A18"/>
  <c r="A40" i="13"/>
  <c r="A20"/>
  <c r="A20" i="5"/>
  <c r="A40"/>
  <c r="A40" i="4"/>
  <c r="A20"/>
  <c r="A40" i="3"/>
  <c r="A20"/>
  <c r="A40" i="2"/>
  <c r="A20"/>
  <c r="A17" i="1" l="1"/>
  <c r="A36" s="1"/>
  <c r="B22" i="34"/>
  <c r="D115" i="44"/>
  <c r="E115" s="1"/>
  <c r="D22"/>
  <c r="E22" s="1"/>
  <c r="F22" s="1"/>
  <c r="E49" i="32"/>
  <c r="F19" i="14"/>
  <c r="E116" i="6"/>
  <c r="F116" s="1"/>
  <c r="E116" i="38"/>
  <c r="E116" i="41"/>
  <c r="E23" s="1"/>
  <c r="E114" i="10"/>
  <c r="H114" i="38"/>
  <c r="H21" s="1"/>
  <c r="F21"/>
  <c r="C21" i="39" s="1"/>
  <c r="E21" s="1"/>
  <c r="G21" s="1"/>
  <c r="H21" s="1"/>
  <c r="D19" i="41" s="1"/>
  <c r="G114" i="38"/>
  <c r="E22"/>
  <c r="F115"/>
  <c r="F113" i="41"/>
  <c r="F17"/>
  <c r="H110"/>
  <c r="H111"/>
  <c r="F18"/>
  <c r="H18" s="1"/>
  <c r="C111" i="9"/>
  <c r="E111" s="1"/>
  <c r="C115" i="39"/>
  <c r="D22" i="7"/>
  <c r="E22" s="1"/>
  <c r="E115"/>
  <c r="F115" s="1"/>
  <c r="F21"/>
  <c r="D21" i="32"/>
  <c r="D113" i="14"/>
  <c r="E113" s="1"/>
  <c r="E20"/>
  <c r="F49" i="16"/>
  <c r="F108" i="10"/>
  <c r="I17" i="16" s="1"/>
  <c r="D111" i="10"/>
  <c r="H20" i="16"/>
  <c r="A17" i="36"/>
  <c r="A36" s="1"/>
  <c r="H46" i="16"/>
  <c r="G115" i="6"/>
  <c r="F109" i="10"/>
  <c r="I18" i="16" s="1"/>
  <c r="I46" s="1"/>
  <c r="G117" i="8"/>
  <c r="F117"/>
  <c r="D20" i="11"/>
  <c r="F20" s="1"/>
  <c r="F113"/>
  <c r="H110"/>
  <c r="H17" i="9"/>
  <c r="D114" i="41" s="1"/>
  <c r="D114" i="11"/>
  <c r="H15" i="9"/>
  <c r="D112" i="41" s="1"/>
  <c r="D112" i="11"/>
  <c r="H111"/>
  <c r="H56" i="36"/>
  <c r="I105"/>
  <c r="T112" s="1"/>
  <c r="H115" i="6"/>
  <c r="E24" i="8"/>
  <c r="G24" s="1"/>
  <c r="I59" i="13"/>
  <c r="J108"/>
  <c r="T114" s="1"/>
  <c r="J111" i="4"/>
  <c r="T117" s="1"/>
  <c r="I62"/>
  <c r="G62" i="5"/>
  <c r="H111"/>
  <c r="T119" s="1"/>
  <c r="D118" i="8" s="1"/>
  <c r="E118" s="1"/>
  <c r="D25"/>
  <c r="I62" i="2"/>
  <c r="J111"/>
  <c r="T117" s="1"/>
  <c r="I62" i="3"/>
  <c r="J111"/>
  <c r="T117" s="1"/>
  <c r="D116" i="7" s="1"/>
  <c r="H59" i="1"/>
  <c r="I108"/>
  <c r="T115" s="1"/>
  <c r="A45" i="31"/>
  <c r="A20"/>
  <c r="A69"/>
  <c r="A39" i="13"/>
  <c r="A19"/>
  <c r="A37" i="12"/>
  <c r="A17"/>
  <c r="A39" i="5"/>
  <c r="A19"/>
  <c r="A19" i="4"/>
  <c r="A39"/>
  <c r="A39" i="3"/>
  <c r="A19"/>
  <c r="A19" i="2"/>
  <c r="A39"/>
  <c r="A16" i="1" l="1"/>
  <c r="A35" s="1"/>
  <c r="B21" i="34"/>
  <c r="D23" i="44"/>
  <c r="E23" s="1"/>
  <c r="F23" s="1"/>
  <c r="D116"/>
  <c r="E116" s="1"/>
  <c r="E50" i="32"/>
  <c r="F20" i="14"/>
  <c r="G21" i="38"/>
  <c r="G115"/>
  <c r="G22" s="1"/>
  <c r="F22"/>
  <c r="C22" i="39" s="1"/>
  <c r="H115" i="38"/>
  <c r="H22" s="1"/>
  <c r="E23"/>
  <c r="F116"/>
  <c r="E117" i="6"/>
  <c r="F117" s="1"/>
  <c r="E117" i="41"/>
  <c r="E24" s="1"/>
  <c r="E117" i="38"/>
  <c r="E115" i="10"/>
  <c r="F112" i="41"/>
  <c r="F114"/>
  <c r="J18"/>
  <c r="I18"/>
  <c r="H17"/>
  <c r="H113"/>
  <c r="F20"/>
  <c r="H20" s="1"/>
  <c r="J111"/>
  <c r="I111"/>
  <c r="J110"/>
  <c r="I110"/>
  <c r="C116" i="39"/>
  <c r="E116" s="1"/>
  <c r="C112" i="9"/>
  <c r="E112" s="1"/>
  <c r="E115" i="39"/>
  <c r="D23" i="7"/>
  <c r="E23" s="1"/>
  <c r="E116"/>
  <c r="F116" s="1"/>
  <c r="F22"/>
  <c r="D22" i="32"/>
  <c r="D114" i="14"/>
  <c r="E114" s="1"/>
  <c r="E21"/>
  <c r="F111" i="10"/>
  <c r="I20" i="16" s="1"/>
  <c r="I48" s="1"/>
  <c r="H108" i="10"/>
  <c r="J108" s="1"/>
  <c r="H109"/>
  <c r="J109" s="1"/>
  <c r="A16" i="36"/>
  <c r="A35" s="1"/>
  <c r="H48" i="16"/>
  <c r="D112" i="10"/>
  <c r="H21" i="16"/>
  <c r="F50"/>
  <c r="H116" i="6"/>
  <c r="D110" i="10"/>
  <c r="H19" i="16"/>
  <c r="F24" i="8"/>
  <c r="F118"/>
  <c r="F25" s="1"/>
  <c r="G118"/>
  <c r="J111" i="11"/>
  <c r="J18" s="1"/>
  <c r="H18"/>
  <c r="J18" i="16" s="1"/>
  <c r="J46" s="1"/>
  <c r="I111" i="11"/>
  <c r="I18" s="1"/>
  <c r="D21"/>
  <c r="F21" s="1"/>
  <c r="F114"/>
  <c r="H113"/>
  <c r="E19" i="9"/>
  <c r="D19" i="11"/>
  <c r="F19" s="1"/>
  <c r="F112"/>
  <c r="I110"/>
  <c r="H17"/>
  <c r="J17" i="16" s="1"/>
  <c r="K17" s="1"/>
  <c r="L17" s="1"/>
  <c r="J110" i="11"/>
  <c r="E18" i="9"/>
  <c r="G56" i="36"/>
  <c r="H105"/>
  <c r="T113" s="1"/>
  <c r="G116" i="6"/>
  <c r="E25" i="8"/>
  <c r="G25" s="1"/>
  <c r="H59" i="13"/>
  <c r="I108"/>
  <c r="T115" s="1"/>
  <c r="I111" i="4"/>
  <c r="T118" s="1"/>
  <c r="H62"/>
  <c r="H62" i="3"/>
  <c r="I111"/>
  <c r="T118" s="1"/>
  <c r="D117" i="7" s="1"/>
  <c r="H62" i="2"/>
  <c r="I111"/>
  <c r="T118" s="1"/>
  <c r="F62" i="5"/>
  <c r="G111"/>
  <c r="T120" s="1"/>
  <c r="D119" i="8" s="1"/>
  <c r="E119" s="1"/>
  <c r="D26"/>
  <c r="G59" i="1"/>
  <c r="H108"/>
  <c r="T116" s="1"/>
  <c r="A68" i="31"/>
  <c r="A19"/>
  <c r="A44"/>
  <c r="A36" i="12"/>
  <c r="A16"/>
  <c r="A18" i="13"/>
  <c r="A38"/>
  <c r="A38" i="5"/>
  <c r="A18"/>
  <c r="A38" i="4"/>
  <c r="A18"/>
  <c r="A18" i="3"/>
  <c r="A38"/>
  <c r="A38" i="2"/>
  <c r="A18"/>
  <c r="A15" i="1" l="1"/>
  <c r="A34" s="1"/>
  <c r="B20" i="34"/>
  <c r="D117" i="44"/>
  <c r="E117" s="1"/>
  <c r="D24"/>
  <c r="E24" s="1"/>
  <c r="F24" s="1"/>
  <c r="E51" i="32"/>
  <c r="F21" i="14"/>
  <c r="E24" i="38"/>
  <c r="F117"/>
  <c r="E22" i="39"/>
  <c r="G22" s="1"/>
  <c r="H22" s="1"/>
  <c r="D20" i="41" s="1"/>
  <c r="E118" i="6"/>
  <c r="E118" i="41"/>
  <c r="E25" s="1"/>
  <c r="E118" i="38"/>
  <c r="E116" i="10"/>
  <c r="G116" i="38"/>
  <c r="G23" s="1"/>
  <c r="F23"/>
  <c r="C23" i="39" s="1"/>
  <c r="E23" s="1"/>
  <c r="H116" i="38"/>
  <c r="H23" s="1"/>
  <c r="J20" i="41"/>
  <c r="I20"/>
  <c r="H112"/>
  <c r="F19"/>
  <c r="J113"/>
  <c r="I113"/>
  <c r="J17"/>
  <c r="I17"/>
  <c r="H114"/>
  <c r="F21"/>
  <c r="H21" s="1"/>
  <c r="C113" i="9"/>
  <c r="C117" i="39"/>
  <c r="I109" i="10"/>
  <c r="D24" i="7"/>
  <c r="E24" s="1"/>
  <c r="E117"/>
  <c r="F117" s="1"/>
  <c r="F23"/>
  <c r="D23" i="32"/>
  <c r="L45" i="16"/>
  <c r="C17" i="32"/>
  <c r="F14" i="17"/>
  <c r="F13" i="18"/>
  <c r="D13"/>
  <c r="D115" i="14"/>
  <c r="E115" s="1"/>
  <c r="E22"/>
  <c r="H111" i="10"/>
  <c r="I111" s="1"/>
  <c r="G117" i="6"/>
  <c r="F110" i="10"/>
  <c r="I19" i="16" s="1"/>
  <c r="I47" s="1"/>
  <c r="F112" i="10"/>
  <c r="I21" i="16" s="1"/>
  <c r="I49" s="1"/>
  <c r="I108" i="10"/>
  <c r="H49" i="16"/>
  <c r="A15" i="36"/>
  <c r="A34" s="1"/>
  <c r="H47" i="16"/>
  <c r="F51"/>
  <c r="E113" i="9"/>
  <c r="K18" i="16"/>
  <c r="L18" s="1"/>
  <c r="F119" i="8"/>
  <c r="G119"/>
  <c r="H18" i="9"/>
  <c r="D115" i="41" s="1"/>
  <c r="D115" i="11"/>
  <c r="J17"/>
  <c r="I17"/>
  <c r="H112"/>
  <c r="H20"/>
  <c r="J20" i="16" s="1"/>
  <c r="I113" i="11"/>
  <c r="I20" s="1"/>
  <c r="J113"/>
  <c r="J20" s="1"/>
  <c r="H114"/>
  <c r="F56" i="36"/>
  <c r="G105"/>
  <c r="T114" s="1"/>
  <c r="H117" i="6"/>
  <c r="F118"/>
  <c r="E26" i="8"/>
  <c r="G26" s="1"/>
  <c r="G59" i="13"/>
  <c r="H108"/>
  <c r="T116" s="1"/>
  <c r="H111" i="4"/>
  <c r="T119" s="1"/>
  <c r="G62"/>
  <c r="E62" i="5"/>
  <c r="F111"/>
  <c r="T121" s="1"/>
  <c r="D120" i="8" s="1"/>
  <c r="E120" s="1"/>
  <c r="D27"/>
  <c r="G62" i="2"/>
  <c r="H111"/>
  <c r="T119" s="1"/>
  <c r="G62" i="3"/>
  <c r="H111"/>
  <c r="T119" s="1"/>
  <c r="D118" i="7" s="1"/>
  <c r="F59" i="1"/>
  <c r="G108"/>
  <c r="T117" s="1"/>
  <c r="A67" i="31"/>
  <c r="A43"/>
  <c r="A18"/>
  <c r="A37" i="13"/>
  <c r="A17"/>
  <c r="A35" i="12"/>
  <c r="A15"/>
  <c r="A37" i="5"/>
  <c r="A17"/>
  <c r="A37" i="4"/>
  <c r="A17"/>
  <c r="A37" i="3"/>
  <c r="A17"/>
  <c r="A37" i="2"/>
  <c r="A17"/>
  <c r="A14" i="1" l="1"/>
  <c r="A33" s="1"/>
  <c r="B19" i="34"/>
  <c r="D118" i="44"/>
  <c r="E118" s="1"/>
  <c r="D25"/>
  <c r="E25" s="1"/>
  <c r="F25" s="1"/>
  <c r="E52" i="32"/>
  <c r="F22" i="14"/>
  <c r="G23" i="39"/>
  <c r="H23" s="1"/>
  <c r="D21" i="41" s="1"/>
  <c r="G117" i="38"/>
  <c r="F24"/>
  <c r="C24" i="39" s="1"/>
  <c r="E24" s="1"/>
  <c r="G24" s="1"/>
  <c r="H24" s="1"/>
  <c r="D22" i="41" s="1"/>
  <c r="H117" i="38"/>
  <c r="H24" s="1"/>
  <c r="E119" i="6"/>
  <c r="F119" s="1"/>
  <c r="E119" i="38"/>
  <c r="E119" i="41"/>
  <c r="E26" s="1"/>
  <c r="E117" i="10"/>
  <c r="E25" i="38"/>
  <c r="F118"/>
  <c r="H110" i="10"/>
  <c r="J110" s="1"/>
  <c r="F115" i="41"/>
  <c r="J21"/>
  <c r="I21"/>
  <c r="J112"/>
  <c r="I112"/>
  <c r="J114"/>
  <c r="I114"/>
  <c r="H19"/>
  <c r="E117" i="39"/>
  <c r="E21" i="9"/>
  <c r="C118" i="39"/>
  <c r="E118" s="1"/>
  <c r="C114" i="9"/>
  <c r="H118" i="6"/>
  <c r="J111" i="10"/>
  <c r="D45" i="32"/>
  <c r="E17"/>
  <c r="D25" i="7"/>
  <c r="E25" s="1"/>
  <c r="E118"/>
  <c r="F118" s="1"/>
  <c r="F24"/>
  <c r="D24" i="32"/>
  <c r="E13" i="18"/>
  <c r="G13"/>
  <c r="J13"/>
  <c r="K46" i="16"/>
  <c r="F107" i="17"/>
  <c r="H14"/>
  <c r="G14"/>
  <c r="D116" i="14"/>
  <c r="E116" s="1"/>
  <c r="E23"/>
  <c r="H112" i="10"/>
  <c r="J112" s="1"/>
  <c r="D113"/>
  <c r="H22" i="16"/>
  <c r="J48"/>
  <c r="K20"/>
  <c r="L20" s="1"/>
  <c r="F52"/>
  <c r="E114" i="9"/>
  <c r="A14" i="36"/>
  <c r="A33" s="1"/>
  <c r="F120" i="8"/>
  <c r="F27" s="1"/>
  <c r="G120"/>
  <c r="F26"/>
  <c r="H19" i="9"/>
  <c r="D116" i="41" s="1"/>
  <c r="D116" i="11"/>
  <c r="H21"/>
  <c r="J21" i="16" s="1"/>
  <c r="I114" i="11"/>
  <c r="I21" s="1"/>
  <c r="J114"/>
  <c r="J21" s="1"/>
  <c r="H19"/>
  <c r="J19" i="16" s="1"/>
  <c r="I112" i="11"/>
  <c r="J112"/>
  <c r="F115"/>
  <c r="D22"/>
  <c r="F22" s="1"/>
  <c r="E20" i="9"/>
  <c r="E56" i="36"/>
  <c r="F105"/>
  <c r="T115" s="1"/>
  <c r="G118" i="6"/>
  <c r="E27" i="8"/>
  <c r="G27" s="1"/>
  <c r="F59" i="13"/>
  <c r="G108"/>
  <c r="T117" s="1"/>
  <c r="G111" i="4"/>
  <c r="T120" s="1"/>
  <c r="F62"/>
  <c r="F62" i="3"/>
  <c r="G111"/>
  <c r="T120" s="1"/>
  <c r="D119" i="7" s="1"/>
  <c r="F62" i="2"/>
  <c r="G111"/>
  <c r="T120" s="1"/>
  <c r="D62" i="5"/>
  <c r="E111"/>
  <c r="T122" s="1"/>
  <c r="D121" i="8" s="1"/>
  <c r="E121" s="1"/>
  <c r="D28"/>
  <c r="E59" i="1"/>
  <c r="F108"/>
  <c r="T118" s="1"/>
  <c r="A42" i="31"/>
  <c r="A66"/>
  <c r="A17"/>
  <c r="A34" i="12"/>
  <c r="A14"/>
  <c r="A36" i="13"/>
  <c r="A16"/>
  <c r="A16" i="5"/>
  <c r="A36"/>
  <c r="A36" i="4"/>
  <c r="A16"/>
  <c r="A36" i="3"/>
  <c r="A16"/>
  <c r="A36" i="2"/>
  <c r="A16"/>
  <c r="A13" i="1" l="1"/>
  <c r="A32" s="1"/>
  <c r="B18" i="34"/>
  <c r="D26" i="44"/>
  <c r="E26" s="1"/>
  <c r="F26" s="1"/>
  <c r="D119"/>
  <c r="E119" s="1"/>
  <c r="E53" i="32"/>
  <c r="F23" i="14"/>
  <c r="I112" i="10"/>
  <c r="E26" i="38"/>
  <c r="F119"/>
  <c r="G24"/>
  <c r="H118"/>
  <c r="H25" s="1"/>
  <c r="F25"/>
  <c r="C25" i="39" s="1"/>
  <c r="E25" s="1"/>
  <c r="G118" i="38"/>
  <c r="G25" s="1"/>
  <c r="E120" i="6"/>
  <c r="F120" s="1"/>
  <c r="H120" s="1"/>
  <c r="E120" i="41"/>
  <c r="E27" s="1"/>
  <c r="E120" i="38"/>
  <c r="E118" i="10"/>
  <c r="I110"/>
  <c r="F116" i="41"/>
  <c r="J19"/>
  <c r="I19"/>
  <c r="H115"/>
  <c r="F22"/>
  <c r="C115" i="9"/>
  <c r="E115" s="1"/>
  <c r="C119" i="39"/>
  <c r="E119" s="1"/>
  <c r="D26" i="7"/>
  <c r="E26" s="1"/>
  <c r="E119"/>
  <c r="F119" s="1"/>
  <c r="F25"/>
  <c r="D25" i="32"/>
  <c r="K48" i="16"/>
  <c r="F17" i="32"/>
  <c r="G17" s="1"/>
  <c r="F17" i="37" s="1"/>
  <c r="C18" i="32"/>
  <c r="F14" i="18"/>
  <c r="L46" i="16"/>
  <c r="F15" i="17"/>
  <c r="D14" i="18"/>
  <c r="G107" i="17"/>
  <c r="H107"/>
  <c r="D117" i="14"/>
  <c r="E117" s="1"/>
  <c r="E24"/>
  <c r="F113" i="10"/>
  <c r="I22" i="16" s="1"/>
  <c r="I50" s="1"/>
  <c r="J47"/>
  <c r="K19"/>
  <c r="L19" s="1"/>
  <c r="F53"/>
  <c r="G119" i="6"/>
  <c r="H50" i="16"/>
  <c r="D114" i="10"/>
  <c r="H23" i="16"/>
  <c r="A13" i="36"/>
  <c r="A32" s="1"/>
  <c r="J49" i="16"/>
  <c r="K21"/>
  <c r="L21" s="1"/>
  <c r="F121" i="8"/>
  <c r="F28" s="1"/>
  <c r="G121"/>
  <c r="I19" i="11"/>
  <c r="H115"/>
  <c r="J19"/>
  <c r="D23"/>
  <c r="F23" s="1"/>
  <c r="F116"/>
  <c r="H21" i="9"/>
  <c r="D118" i="41" s="1"/>
  <c r="D118" i="11"/>
  <c r="D56" i="36"/>
  <c r="E105"/>
  <c r="T116" s="1"/>
  <c r="H119" i="6"/>
  <c r="E28" i="8"/>
  <c r="G28" s="1"/>
  <c r="E59" i="13"/>
  <c r="F108"/>
  <c r="T118" s="1"/>
  <c r="F111" i="4"/>
  <c r="T121" s="1"/>
  <c r="E62"/>
  <c r="C62" i="5"/>
  <c r="D111"/>
  <c r="T123" s="1"/>
  <c r="D122" i="8" s="1"/>
  <c r="E122" s="1"/>
  <c r="D29"/>
  <c r="E62" i="2"/>
  <c r="F111"/>
  <c r="T121" s="1"/>
  <c r="E62" i="3"/>
  <c r="F111"/>
  <c r="T121" s="1"/>
  <c r="D120" i="7" s="1"/>
  <c r="D59" i="1"/>
  <c r="E108"/>
  <c r="T119" s="1"/>
  <c r="A41" i="31"/>
  <c r="A16"/>
  <c r="A65"/>
  <c r="A35" i="13"/>
  <c r="A15"/>
  <c r="A33" i="12"/>
  <c r="A13"/>
  <c r="A35" i="5"/>
  <c r="A15"/>
  <c r="A15" i="4"/>
  <c r="A35"/>
  <c r="A35" i="3"/>
  <c r="A15"/>
  <c r="A15" i="2"/>
  <c r="A35"/>
  <c r="A12" i="1" l="1"/>
  <c r="A31" s="1"/>
  <c r="B17" i="34"/>
  <c r="D27" i="44"/>
  <c r="E27" s="1"/>
  <c r="F27" s="1"/>
  <c r="D120"/>
  <c r="E120" s="1"/>
  <c r="E54" i="32"/>
  <c r="F24" i="14"/>
  <c r="E27" i="38"/>
  <c r="F120"/>
  <c r="H119"/>
  <c r="H26" s="1"/>
  <c r="G119"/>
  <c r="G26" s="1"/>
  <c r="F26"/>
  <c r="C26" i="39" s="1"/>
  <c r="E26" s="1"/>
  <c r="G26" s="1"/>
  <c r="H26" s="1"/>
  <c r="D24" i="41" s="1"/>
  <c r="G25" i="39"/>
  <c r="H25" s="1"/>
  <c r="D23" i="41" s="1"/>
  <c r="E121" i="6"/>
  <c r="F121" s="1"/>
  <c r="G121" s="1"/>
  <c r="E121" i="41"/>
  <c r="E28" s="1"/>
  <c r="E121" i="38"/>
  <c r="E119" i="10"/>
  <c r="F118" i="41"/>
  <c r="H22"/>
  <c r="H116"/>
  <c r="F23"/>
  <c r="H23" s="1"/>
  <c r="J115"/>
  <c r="I115"/>
  <c r="C120" i="39"/>
  <c r="E120" s="1"/>
  <c r="C116" i="9"/>
  <c r="E116" s="1"/>
  <c r="D46" i="32"/>
  <c r="G45"/>
  <c r="D27" i="7"/>
  <c r="E27" s="1"/>
  <c r="E120"/>
  <c r="F120" s="1"/>
  <c r="F26"/>
  <c r="D26" i="32"/>
  <c r="K49" i="16"/>
  <c r="E14" i="18"/>
  <c r="F45" i="32"/>
  <c r="C20"/>
  <c r="F16" i="18"/>
  <c r="L48" i="16"/>
  <c r="F17" i="17"/>
  <c r="D16" i="18"/>
  <c r="E16" s="1"/>
  <c r="C19" i="32"/>
  <c r="F16" i="17"/>
  <c r="F15" i="18"/>
  <c r="L47" i="16"/>
  <c r="D15" i="18"/>
  <c r="E15" s="1"/>
  <c r="F108" i="17"/>
  <c r="G15"/>
  <c r="H15"/>
  <c r="G14" i="18"/>
  <c r="J14"/>
  <c r="E18" i="32"/>
  <c r="D118" i="14"/>
  <c r="E118" s="1"/>
  <c r="E25"/>
  <c r="F114" i="10"/>
  <c r="I23" i="16" s="1"/>
  <c r="I51" s="1"/>
  <c r="H113" i="10"/>
  <c r="J113" s="1"/>
  <c r="A12" i="36"/>
  <c r="A31" s="1"/>
  <c r="D116" i="10"/>
  <c r="H25" i="16"/>
  <c r="K47"/>
  <c r="F54"/>
  <c r="H51"/>
  <c r="F122" i="8"/>
  <c r="F29" s="1"/>
  <c r="G122"/>
  <c r="H116" i="11"/>
  <c r="J115"/>
  <c r="H22"/>
  <c r="J22" i="16" s="1"/>
  <c r="I115" i="11"/>
  <c r="E23" i="9"/>
  <c r="D25" i="11"/>
  <c r="F25" s="1"/>
  <c r="F118"/>
  <c r="H20" i="9"/>
  <c r="D117" i="41" s="1"/>
  <c r="D117" i="11"/>
  <c r="E22" i="9"/>
  <c r="C56" i="36"/>
  <c r="D105"/>
  <c r="T117" s="1"/>
  <c r="G120" i="6"/>
  <c r="E29" i="8"/>
  <c r="G29" s="1"/>
  <c r="D59" i="13"/>
  <c r="E108"/>
  <c r="T119" s="1"/>
  <c r="E111" i="4"/>
  <c r="T122" s="1"/>
  <c r="D62"/>
  <c r="D62" i="3"/>
  <c r="E111"/>
  <c r="T122" s="1"/>
  <c r="D121" i="7" s="1"/>
  <c r="D62" i="2"/>
  <c r="E111"/>
  <c r="T122" s="1"/>
  <c r="B62" i="5"/>
  <c r="C111"/>
  <c r="T124" s="1"/>
  <c r="D123" i="8" s="1"/>
  <c r="E123" s="1"/>
  <c r="D30"/>
  <c r="C59" i="1"/>
  <c r="D108"/>
  <c r="T120" s="1"/>
  <c r="A64" i="31"/>
  <c r="A15"/>
  <c r="A40"/>
  <c r="A32" i="12"/>
  <c r="A12"/>
  <c r="A14" i="13"/>
  <c r="A34"/>
  <c r="A34" i="5"/>
  <c r="A14"/>
  <c r="A34" i="4"/>
  <c r="A14"/>
  <c r="A14" i="3"/>
  <c r="A34"/>
  <c r="A34" i="2"/>
  <c r="A14"/>
  <c r="A11" i="1" l="1"/>
  <c r="A30" s="1"/>
  <c r="B16" i="34"/>
  <c r="D121" i="44"/>
  <c r="E121" s="1"/>
  <c r="D28"/>
  <c r="E28" s="1"/>
  <c r="F28" s="1"/>
  <c r="E55" i="32"/>
  <c r="F25" i="14"/>
  <c r="G120" i="38"/>
  <c r="G27" s="1"/>
  <c r="F27"/>
  <c r="C27" i="39" s="1"/>
  <c r="E27" s="1"/>
  <c r="G27" s="1"/>
  <c r="H27" s="1"/>
  <c r="D25" i="41" s="1"/>
  <c r="H120" i="38"/>
  <c r="H27" s="1"/>
  <c r="E28"/>
  <c r="F121"/>
  <c r="E122" i="6"/>
  <c r="F122" s="1"/>
  <c r="E122" i="41"/>
  <c r="E29" s="1"/>
  <c r="E122" i="38"/>
  <c r="E120" i="10"/>
  <c r="F117" i="41"/>
  <c r="J116"/>
  <c r="I116"/>
  <c r="J22"/>
  <c r="I22"/>
  <c r="H118"/>
  <c r="F25"/>
  <c r="H25" s="1"/>
  <c r="I23"/>
  <c r="J23"/>
  <c r="C117" i="9"/>
  <c r="E117" s="1"/>
  <c r="C121" i="39"/>
  <c r="E121" s="1"/>
  <c r="D47" i="32"/>
  <c r="D48"/>
  <c r="I17" i="37"/>
  <c r="G17"/>
  <c r="H17"/>
  <c r="D28" i="7"/>
  <c r="E28" s="1"/>
  <c r="E121"/>
  <c r="F121" s="1"/>
  <c r="F27"/>
  <c r="D27" i="32"/>
  <c r="G15" i="18"/>
  <c r="J15"/>
  <c r="C21" i="32"/>
  <c r="F18" i="17"/>
  <c r="F17" i="18"/>
  <c r="L49" i="16"/>
  <c r="D17" i="18"/>
  <c r="E17" s="1"/>
  <c r="F18" i="32"/>
  <c r="G18" s="1"/>
  <c r="H108" i="17"/>
  <c r="G108"/>
  <c r="F109"/>
  <c r="H16"/>
  <c r="G16"/>
  <c r="E19" i="32"/>
  <c r="F19" s="1"/>
  <c r="F110" i="17"/>
  <c r="H17"/>
  <c r="G17"/>
  <c r="G16" i="18"/>
  <c r="J16"/>
  <c r="E20" i="32"/>
  <c r="F20" s="1"/>
  <c r="D119" i="14"/>
  <c r="E119" s="1"/>
  <c r="E26"/>
  <c r="F116" i="10"/>
  <c r="I25" i="16" s="1"/>
  <c r="I53" s="1"/>
  <c r="I113" i="10"/>
  <c r="H114"/>
  <c r="I114" s="1"/>
  <c r="F55" i="16"/>
  <c r="A11" i="36"/>
  <c r="A30" s="1"/>
  <c r="J50" i="16"/>
  <c r="K22"/>
  <c r="L22" s="1"/>
  <c r="H53"/>
  <c r="D115" i="10"/>
  <c r="H24" i="16"/>
  <c r="G123" i="8"/>
  <c r="F123"/>
  <c r="F30" s="1"/>
  <c r="H118" i="11"/>
  <c r="H23"/>
  <c r="J23" i="16" s="1"/>
  <c r="I116" i="11"/>
  <c r="I23" s="1"/>
  <c r="J116"/>
  <c r="J23" s="1"/>
  <c r="E24" i="9"/>
  <c r="D24" i="11"/>
  <c r="F24" s="1"/>
  <c r="F117"/>
  <c r="H23" i="9"/>
  <c r="D120" i="41" s="1"/>
  <c r="D120" i="11"/>
  <c r="I22"/>
  <c r="J22"/>
  <c r="B56" i="36"/>
  <c r="B105" s="1"/>
  <c r="T119" s="1"/>
  <c r="C105"/>
  <c r="T118" s="1"/>
  <c r="H121" i="6"/>
  <c r="E30" i="8"/>
  <c r="G30" s="1"/>
  <c r="C59" i="13"/>
  <c r="D108"/>
  <c r="T120" s="1"/>
  <c r="D111" i="4"/>
  <c r="T123" s="1"/>
  <c r="C62"/>
  <c r="D31" i="8"/>
  <c r="B111" i="5"/>
  <c r="T125" s="1"/>
  <c r="D124" i="8" s="1"/>
  <c r="E124" s="1"/>
  <c r="C62" i="2"/>
  <c r="D111"/>
  <c r="T123" s="1"/>
  <c r="C62" i="3"/>
  <c r="D111"/>
  <c r="T123" s="1"/>
  <c r="D122" i="7" s="1"/>
  <c r="B59" i="1"/>
  <c r="B108" s="1"/>
  <c r="T122" s="1"/>
  <c r="C108"/>
  <c r="T121" s="1"/>
  <c r="A63" i="31"/>
  <c r="A39"/>
  <c r="A14"/>
  <c r="A33" i="13"/>
  <c r="A13"/>
  <c r="A31" i="12"/>
  <c r="A11"/>
  <c r="A33" i="5"/>
  <c r="A13"/>
  <c r="A33" i="4"/>
  <c r="A13"/>
  <c r="A33" i="3"/>
  <c r="A13"/>
  <c r="A33" i="2"/>
  <c r="A13"/>
  <c r="A10" i="1" l="1"/>
  <c r="A29" s="1"/>
  <c r="B15" i="34"/>
  <c r="D29" i="44"/>
  <c r="E29" s="1"/>
  <c r="F29" s="1"/>
  <c r="D122"/>
  <c r="E122" s="1"/>
  <c r="E56" i="32"/>
  <c r="F26" i="14"/>
  <c r="E123" i="6"/>
  <c r="F123" s="1"/>
  <c r="E123" i="41"/>
  <c r="E30" s="1"/>
  <c r="E123" i="38"/>
  <c r="E121" i="10"/>
  <c r="E29" i="38"/>
  <c r="F122"/>
  <c r="G121"/>
  <c r="G28" s="1"/>
  <c r="F28"/>
  <c r="C28" i="39" s="1"/>
  <c r="E28" s="1"/>
  <c r="G28" s="1"/>
  <c r="H28" s="1"/>
  <c r="D26" i="41" s="1"/>
  <c r="H121" i="38"/>
  <c r="H28" s="1"/>
  <c r="E124" i="6"/>
  <c r="E124" i="38"/>
  <c r="E124" i="41"/>
  <c r="E31" s="1"/>
  <c r="E122" i="10"/>
  <c r="F120" i="41"/>
  <c r="J118"/>
  <c r="I118"/>
  <c r="H117"/>
  <c r="F24"/>
  <c r="J25"/>
  <c r="I25"/>
  <c r="C122" i="39"/>
  <c r="E122" s="1"/>
  <c r="C118" i="9"/>
  <c r="E118" s="1"/>
  <c r="J114" i="10"/>
  <c r="F48" i="32"/>
  <c r="G20"/>
  <c r="F47"/>
  <c r="G19"/>
  <c r="F18" i="37"/>
  <c r="G46" i="32"/>
  <c r="D49"/>
  <c r="D29" i="7"/>
  <c r="E29" s="1"/>
  <c r="E122"/>
  <c r="F122" s="1"/>
  <c r="F28"/>
  <c r="D28" i="32"/>
  <c r="C22"/>
  <c r="F18" i="18"/>
  <c r="L50" i="16"/>
  <c r="F19" i="17"/>
  <c r="D18" i="18"/>
  <c r="H110" i="17"/>
  <c r="G110"/>
  <c r="G109"/>
  <c r="H109"/>
  <c r="G17" i="18"/>
  <c r="J17"/>
  <c r="F46" i="32"/>
  <c r="F111" i="17"/>
  <c r="G18"/>
  <c r="H18"/>
  <c r="E21" i="32"/>
  <c r="F21" s="1"/>
  <c r="D120" i="14"/>
  <c r="E120" s="1"/>
  <c r="E27"/>
  <c r="E31" i="9"/>
  <c r="H24"/>
  <c r="D121" i="41" s="1"/>
  <c r="H116" i="10"/>
  <c r="J116" s="1"/>
  <c r="F115"/>
  <c r="I24" i="16" s="1"/>
  <c r="I52" s="1"/>
  <c r="D118" i="10"/>
  <c r="H27" i="16"/>
  <c r="J51"/>
  <c r="K23"/>
  <c r="L23" s="1"/>
  <c r="K50"/>
  <c r="A10" i="36"/>
  <c r="A29" s="1"/>
  <c r="H52" i="16"/>
  <c r="F56"/>
  <c r="F124" i="8"/>
  <c r="G124"/>
  <c r="E126"/>
  <c r="G126" s="1"/>
  <c r="D27" i="11"/>
  <c r="F27" s="1"/>
  <c r="F120"/>
  <c r="H25"/>
  <c r="J25" i="16" s="1"/>
  <c r="I118" i="11"/>
  <c r="I25" s="1"/>
  <c r="J118"/>
  <c r="J25" s="1"/>
  <c r="E25" i="9"/>
  <c r="H117" i="11"/>
  <c r="D119"/>
  <c r="H22" i="9"/>
  <c r="D119" i="41" s="1"/>
  <c r="H122" i="6"/>
  <c r="G122"/>
  <c r="F124"/>
  <c r="E31" i="8"/>
  <c r="G31" s="1"/>
  <c r="B59" i="13"/>
  <c r="B108" s="1"/>
  <c r="T122" s="1"/>
  <c r="C108"/>
  <c r="T121" s="1"/>
  <c r="C111" i="4"/>
  <c r="T124" s="1"/>
  <c r="B62"/>
  <c r="B111" s="1"/>
  <c r="T125" s="1"/>
  <c r="B62" i="3"/>
  <c r="B111" s="1"/>
  <c r="T125" s="1"/>
  <c r="D124" i="7" s="1"/>
  <c r="C111" i="3"/>
  <c r="T124" s="1"/>
  <c r="D123" i="7" s="1"/>
  <c r="B62" i="2"/>
  <c r="B111" s="1"/>
  <c r="T125" s="1"/>
  <c r="C111"/>
  <c r="T124" s="1"/>
  <c r="A38" i="31"/>
  <c r="A62"/>
  <c r="A13"/>
  <c r="A30" i="12"/>
  <c r="A10"/>
  <c r="B14" i="34" l="1"/>
  <c r="D30" i="44"/>
  <c r="E30" s="1"/>
  <c r="F30" s="1"/>
  <c r="D123"/>
  <c r="E123" s="1"/>
  <c r="D124"/>
  <c r="E124" s="1"/>
  <c r="D31"/>
  <c r="E31" s="1"/>
  <c r="F31" s="1"/>
  <c r="E57" i="32"/>
  <c r="F27" i="14"/>
  <c r="E30" i="38"/>
  <c r="F123"/>
  <c r="E31"/>
  <c r="F124"/>
  <c r="H122"/>
  <c r="H29" s="1"/>
  <c r="F29"/>
  <c r="C29" i="39" s="1"/>
  <c r="E29" s="1"/>
  <c r="G29" s="1"/>
  <c r="H29" s="1"/>
  <c r="D27" i="41" s="1"/>
  <c r="G122" i="38"/>
  <c r="G29" s="1"/>
  <c r="E35" i="39"/>
  <c r="F121" i="41"/>
  <c r="F119"/>
  <c r="J117"/>
  <c r="I117"/>
  <c r="H120"/>
  <c r="F27"/>
  <c r="H27" s="1"/>
  <c r="H24"/>
  <c r="C119" i="9"/>
  <c r="E119" s="1"/>
  <c r="C123" i="39"/>
  <c r="E123" s="1"/>
  <c r="C124"/>
  <c r="C120" i="9"/>
  <c r="E120" s="1"/>
  <c r="F118" i="10"/>
  <c r="I27" i="16" s="1"/>
  <c r="I55" s="1"/>
  <c r="F49" i="32"/>
  <c r="G21"/>
  <c r="I18" i="37"/>
  <c r="G18"/>
  <c r="H18"/>
  <c r="D50" i="32"/>
  <c r="F19" i="37"/>
  <c r="G47" i="32"/>
  <c r="F20" i="37"/>
  <c r="G48" i="32"/>
  <c r="D30" i="7"/>
  <c r="E30" s="1"/>
  <c r="E123"/>
  <c r="F123" s="1"/>
  <c r="D31"/>
  <c r="E31" s="1"/>
  <c r="E124"/>
  <c r="F29"/>
  <c r="D29" i="32"/>
  <c r="H111" i="17"/>
  <c r="G111"/>
  <c r="F112"/>
  <c r="H19"/>
  <c r="G19"/>
  <c r="G18" i="18"/>
  <c r="J18"/>
  <c r="E22" i="32"/>
  <c r="K51" i="16"/>
  <c r="E18" i="18"/>
  <c r="D122" i="14"/>
  <c r="E122" s="1"/>
  <c r="E29"/>
  <c r="D121"/>
  <c r="E121" s="1"/>
  <c r="E28"/>
  <c r="C29" i="9"/>
  <c r="H115" i="10"/>
  <c r="J115" s="1"/>
  <c r="I116"/>
  <c r="F57" i="16"/>
  <c r="H55"/>
  <c r="D119" i="10"/>
  <c r="H28" i="16"/>
  <c r="J53"/>
  <c r="K25"/>
  <c r="D117" i="10"/>
  <c r="H26" i="16"/>
  <c r="D121" i="11"/>
  <c r="D28" s="1"/>
  <c r="F28" s="1"/>
  <c r="F126" i="6"/>
  <c r="F31" i="8"/>
  <c r="F33" s="1"/>
  <c r="F126"/>
  <c r="G123" i="6"/>
  <c r="E33" i="8"/>
  <c r="G33" s="1"/>
  <c r="E26" i="9"/>
  <c r="F119" i="11"/>
  <c r="D26"/>
  <c r="F26" s="1"/>
  <c r="H24"/>
  <c r="J24" i="16" s="1"/>
  <c r="I117" i="11"/>
  <c r="J117"/>
  <c r="H120"/>
  <c r="H25" i="9"/>
  <c r="D122" i="41" s="1"/>
  <c r="D122" i="11"/>
  <c r="H124" i="6"/>
  <c r="H123"/>
  <c r="G124"/>
  <c r="A37" i="31"/>
  <c r="A61"/>
  <c r="AF17" i="16"/>
  <c r="B33"/>
  <c r="J45"/>
  <c r="F45"/>
  <c r="I45"/>
  <c r="G45"/>
  <c r="H45"/>
  <c r="K45"/>
  <c r="B33" i="35"/>
  <c r="B30" i="17"/>
  <c r="H110" i="29"/>
  <c r="H17" s="1"/>
  <c r="C30" i="34"/>
  <c r="H110" i="6"/>
  <c r="E58" i="32" l="1"/>
  <c r="F28" i="14"/>
  <c r="E59" i="32"/>
  <c r="F29" i="14"/>
  <c r="H118" i="10"/>
  <c r="J118" s="1"/>
  <c r="F30" i="38"/>
  <c r="C30" i="39" s="1"/>
  <c r="E30" s="1"/>
  <c r="G30" s="1"/>
  <c r="H30" s="1"/>
  <c r="D28" i="41" s="1"/>
  <c r="G123" i="38"/>
  <c r="G30" s="1"/>
  <c r="H123"/>
  <c r="H30" s="1"/>
  <c r="H124"/>
  <c r="H31" s="1"/>
  <c r="F31"/>
  <c r="C31" i="39" s="1"/>
  <c r="G124" i="38"/>
  <c r="F126"/>
  <c r="F122" i="41"/>
  <c r="I24"/>
  <c r="J24"/>
  <c r="J120"/>
  <c r="I120"/>
  <c r="H119"/>
  <c r="F26"/>
  <c r="H26" s="1"/>
  <c r="H121"/>
  <c r="F28"/>
  <c r="H28" s="1"/>
  <c r="I27"/>
  <c r="J27"/>
  <c r="E124" i="39"/>
  <c r="C126"/>
  <c r="E126" s="1"/>
  <c r="F117" i="10"/>
  <c r="I26" i="16" s="1"/>
  <c r="I54" s="1"/>
  <c r="I115" i="10"/>
  <c r="K53" i="16"/>
  <c r="L25"/>
  <c r="H20" i="37"/>
  <c r="I20"/>
  <c r="G20"/>
  <c r="I19"/>
  <c r="G19"/>
  <c r="H19"/>
  <c r="F21"/>
  <c r="G49" i="32"/>
  <c r="F124" i="7"/>
  <c r="F126" s="1"/>
  <c r="E126"/>
  <c r="D31" i="32"/>
  <c r="F31" i="7"/>
  <c r="E33"/>
  <c r="F33" s="1"/>
  <c r="F30"/>
  <c r="D30" i="32"/>
  <c r="H112" i="17"/>
  <c r="G112"/>
  <c r="C23" i="32"/>
  <c r="F20" i="17"/>
  <c r="F19" i="18"/>
  <c r="L51" i="16"/>
  <c r="D19" i="18"/>
  <c r="F22" i="32"/>
  <c r="G22" s="1"/>
  <c r="C122" i="9"/>
  <c r="E122" s="1"/>
  <c r="F119" i="10"/>
  <c r="I28" i="16" s="1"/>
  <c r="I56" s="1"/>
  <c r="F59"/>
  <c r="F33"/>
  <c r="H56"/>
  <c r="D120" i="10"/>
  <c r="H29" i="16"/>
  <c r="F58"/>
  <c r="J52"/>
  <c r="K24"/>
  <c r="L24" s="1"/>
  <c r="H54"/>
  <c r="F121" i="11"/>
  <c r="H121" s="1"/>
  <c r="D29"/>
  <c r="F29" s="1"/>
  <c r="F122"/>
  <c r="H26" i="9"/>
  <c r="D123" i="41" s="1"/>
  <c r="D123" i="11"/>
  <c r="H27"/>
  <c r="J27" i="16" s="1"/>
  <c r="I120" i="11"/>
  <c r="I27" s="1"/>
  <c r="J120"/>
  <c r="J27" s="1"/>
  <c r="I24"/>
  <c r="H119"/>
  <c r="J24"/>
  <c r="E27" i="9"/>
  <c r="E29"/>
  <c r="G126" i="6"/>
  <c r="C33" i="29"/>
  <c r="H126" s="1"/>
  <c r="H33" s="1"/>
  <c r="C33" i="6"/>
  <c r="H117" i="10" l="1"/>
  <c r="J117" s="1"/>
  <c r="I118"/>
  <c r="H126" i="6"/>
  <c r="H33"/>
  <c r="E31" i="39"/>
  <c r="G31" s="1"/>
  <c r="H31" s="1"/>
  <c r="D29" i="41" s="1"/>
  <c r="C33" i="39"/>
  <c r="E33" s="1"/>
  <c r="G31" i="38"/>
  <c r="G126"/>
  <c r="G33" s="1"/>
  <c r="H126"/>
  <c r="H33" s="1"/>
  <c r="F33"/>
  <c r="I28" i="41"/>
  <c r="J28"/>
  <c r="F123"/>
  <c r="J121"/>
  <c r="I121"/>
  <c r="J26"/>
  <c r="I26"/>
  <c r="H122"/>
  <c r="F29"/>
  <c r="H29" s="1"/>
  <c r="J119"/>
  <c r="I119"/>
  <c r="F22" i="37"/>
  <c r="G50" i="32"/>
  <c r="D51"/>
  <c r="I21" i="37"/>
  <c r="G21"/>
  <c r="H21"/>
  <c r="D33" i="32"/>
  <c r="K52" i="16"/>
  <c r="F113" i="17"/>
  <c r="H20"/>
  <c r="G20"/>
  <c r="E23" i="32"/>
  <c r="C25"/>
  <c r="F22" i="17"/>
  <c r="F21" i="18"/>
  <c r="L53" i="16"/>
  <c r="D21" i="18"/>
  <c r="E21" s="1"/>
  <c r="F50" i="32"/>
  <c r="G19" i="18"/>
  <c r="J19"/>
  <c r="H119" i="10"/>
  <c r="I119" s="1"/>
  <c r="F120"/>
  <c r="I29" i="16" s="1"/>
  <c r="I57" s="1"/>
  <c r="D121" i="10"/>
  <c r="H30" i="16"/>
  <c r="J55"/>
  <c r="K27"/>
  <c r="K55" s="1"/>
  <c r="H57"/>
  <c r="J119" i="11"/>
  <c r="H26"/>
  <c r="J26" i="16" s="1"/>
  <c r="I119" i="11"/>
  <c r="H28"/>
  <c r="J28" i="16" s="1"/>
  <c r="I121" i="11"/>
  <c r="I28" s="1"/>
  <c r="J121"/>
  <c r="J28" s="1"/>
  <c r="D30"/>
  <c r="F30" s="1"/>
  <c r="F123"/>
  <c r="H27" i="9"/>
  <c r="D124" i="11"/>
  <c r="D31" s="1"/>
  <c r="F31" s="1"/>
  <c r="H122"/>
  <c r="I117" i="10" l="1"/>
  <c r="H33" i="39"/>
  <c r="D31" i="41" s="1"/>
  <c r="H31" i="16"/>
  <c r="H59" s="1"/>
  <c r="D124" i="41"/>
  <c r="J29"/>
  <c r="I29"/>
  <c r="J122"/>
  <c r="I122"/>
  <c r="H123"/>
  <c r="F30"/>
  <c r="H30" s="1"/>
  <c r="H120" i="10"/>
  <c r="I120" s="1"/>
  <c r="F121"/>
  <c r="I30" i="16" s="1"/>
  <c r="I58" s="1"/>
  <c r="L27"/>
  <c r="D53" i="32"/>
  <c r="I22" i="37"/>
  <c r="G22"/>
  <c r="H22"/>
  <c r="F115" i="17"/>
  <c r="H22"/>
  <c r="G22"/>
  <c r="E25" i="32"/>
  <c r="F25" s="1"/>
  <c r="H113" i="17"/>
  <c r="G113"/>
  <c r="G21" i="18"/>
  <c r="J21"/>
  <c r="F23" i="32"/>
  <c r="G23" s="1"/>
  <c r="C24"/>
  <c r="F20" i="18"/>
  <c r="L52" i="16"/>
  <c r="F21" i="17"/>
  <c r="D20" i="18"/>
  <c r="E20" s="1"/>
  <c r="J119" i="10"/>
  <c r="J54" i="16"/>
  <c r="K26"/>
  <c r="K54" s="1"/>
  <c r="H58"/>
  <c r="J56"/>
  <c r="K28"/>
  <c r="L28" s="1"/>
  <c r="H29" i="9"/>
  <c r="D122" i="10"/>
  <c r="H29" i="11"/>
  <c r="J29" i="16" s="1"/>
  <c r="I122" i="11"/>
  <c r="I29" s="1"/>
  <c r="J122"/>
  <c r="J29" s="1"/>
  <c r="D33"/>
  <c r="F124"/>
  <c r="D126"/>
  <c r="H123"/>
  <c r="I26"/>
  <c r="J26"/>
  <c r="D31" i="10" l="1"/>
  <c r="J120"/>
  <c r="H33" i="16"/>
  <c r="J30" i="41"/>
  <c r="I30"/>
  <c r="F124"/>
  <c r="D33"/>
  <c r="D126"/>
  <c r="J123"/>
  <c r="I123"/>
  <c r="H121" i="10"/>
  <c r="I121" s="1"/>
  <c r="L26" i="16"/>
  <c r="F23" i="37"/>
  <c r="G51" i="32"/>
  <c r="F53"/>
  <c r="G25"/>
  <c r="D52"/>
  <c r="F114" i="17"/>
  <c r="H21"/>
  <c r="G21"/>
  <c r="G20" i="18"/>
  <c r="J20"/>
  <c r="E24" i="32"/>
  <c r="F24" s="1"/>
  <c r="F51"/>
  <c r="C27"/>
  <c r="F24" i="17"/>
  <c r="F23" i="18"/>
  <c r="L55" i="16"/>
  <c r="D23" i="18"/>
  <c r="E23" s="1"/>
  <c r="H115" i="17"/>
  <c r="G115"/>
  <c r="K56" i="16"/>
  <c r="F122" i="10"/>
  <c r="I31" i="16" s="1"/>
  <c r="J57"/>
  <c r="K29"/>
  <c r="L29" s="1"/>
  <c r="D124" i="10"/>
  <c r="H30" i="11"/>
  <c r="J30" i="16" s="1"/>
  <c r="I123" i="11"/>
  <c r="I30" s="1"/>
  <c r="J123"/>
  <c r="F33"/>
  <c r="H124"/>
  <c r="F126"/>
  <c r="J121" i="10" l="1"/>
  <c r="H124" i="41"/>
  <c r="F31"/>
  <c r="F126"/>
  <c r="D55" i="32"/>
  <c r="F52"/>
  <c r="G24"/>
  <c r="F25" i="37"/>
  <c r="G53" i="32"/>
  <c r="I23" i="37"/>
  <c r="G23"/>
  <c r="H23"/>
  <c r="K57" i="16"/>
  <c r="I33"/>
  <c r="C28" i="32"/>
  <c r="F24" i="18"/>
  <c r="L56" i="16"/>
  <c r="F25" i="17"/>
  <c r="D24" i="18"/>
  <c r="E24" s="1"/>
  <c r="C26" i="32"/>
  <c r="F22" i="18"/>
  <c r="L54" i="16"/>
  <c r="F23" i="17"/>
  <c r="D22" i="18"/>
  <c r="E22" s="1"/>
  <c r="F117" i="17"/>
  <c r="H24"/>
  <c r="G24"/>
  <c r="E27" i="32"/>
  <c r="F27" s="1"/>
  <c r="H114" i="17"/>
  <c r="G114"/>
  <c r="G23" i="18"/>
  <c r="J23"/>
  <c r="I59" i="16"/>
  <c r="F124" i="10"/>
  <c r="H122"/>
  <c r="J122" s="1"/>
  <c r="J31"/>
  <c r="J58" i="16"/>
  <c r="K30"/>
  <c r="K58" s="1"/>
  <c r="H31" i="11"/>
  <c r="I124"/>
  <c r="J124"/>
  <c r="J31" s="1"/>
  <c r="H126"/>
  <c r="F31" i="10"/>
  <c r="J30" i="11"/>
  <c r="J124" i="10" l="1"/>
  <c r="H31" i="41"/>
  <c r="F33"/>
  <c r="J124"/>
  <c r="J126" s="1"/>
  <c r="I124"/>
  <c r="I126" s="1"/>
  <c r="H126"/>
  <c r="L30" i="16"/>
  <c r="I25" i="37"/>
  <c r="G25"/>
  <c r="H25"/>
  <c r="F55" i="32"/>
  <c r="G27"/>
  <c r="D54"/>
  <c r="D56"/>
  <c r="F24" i="37"/>
  <c r="G52" i="32"/>
  <c r="H117" i="17"/>
  <c r="G117"/>
  <c r="F116"/>
  <c r="G23"/>
  <c r="H23"/>
  <c r="G22" i="18"/>
  <c r="J22"/>
  <c r="E26" i="32"/>
  <c r="F26" s="1"/>
  <c r="F118" i="17"/>
  <c r="H25"/>
  <c r="G25"/>
  <c r="G24" i="18"/>
  <c r="J24"/>
  <c r="E28" i="32"/>
  <c r="F28" s="1"/>
  <c r="C29"/>
  <c r="F26" i="17"/>
  <c r="F25" i="18"/>
  <c r="L57" i="16"/>
  <c r="D25" i="18"/>
  <c r="E25" s="1"/>
  <c r="I122" i="10"/>
  <c r="I124" s="1"/>
  <c r="H124"/>
  <c r="H33" i="11"/>
  <c r="J31" i="16"/>
  <c r="J126" i="11"/>
  <c r="I31"/>
  <c r="I33" s="1"/>
  <c r="I126"/>
  <c r="I31" i="10"/>
  <c r="H31"/>
  <c r="J33" i="11"/>
  <c r="J31" i="41" l="1"/>
  <c r="J33" s="1"/>
  <c r="I31"/>
  <c r="I33" s="1"/>
  <c r="H33"/>
  <c r="F27" i="37"/>
  <c r="G55" i="32"/>
  <c r="D57"/>
  <c r="F56"/>
  <c r="G28"/>
  <c r="F54"/>
  <c r="G26"/>
  <c r="I24" i="37"/>
  <c r="G24"/>
  <c r="H24"/>
  <c r="G25" i="18"/>
  <c r="J25"/>
  <c r="C30" i="32"/>
  <c r="F26" i="18"/>
  <c r="L58" i="16"/>
  <c r="F27" i="17"/>
  <c r="D26" i="18"/>
  <c r="E26" s="1"/>
  <c r="H118" i="17"/>
  <c r="G118"/>
  <c r="G116"/>
  <c r="H116"/>
  <c r="F119"/>
  <c r="G26"/>
  <c r="H26"/>
  <c r="E29" i="32"/>
  <c r="F29" s="1"/>
  <c r="J59" i="16"/>
  <c r="J33"/>
  <c r="K31"/>
  <c r="L31" s="1"/>
  <c r="D58" i="32" l="1"/>
  <c r="I27" i="37"/>
  <c r="G27"/>
  <c r="H27"/>
  <c r="F57" i="32"/>
  <c r="G29"/>
  <c r="F26" i="37"/>
  <c r="G54" i="32"/>
  <c r="F28" i="37"/>
  <c r="G56" i="32"/>
  <c r="C31"/>
  <c r="F28" i="17"/>
  <c r="F27" i="18"/>
  <c r="D27"/>
  <c r="L59" i="16"/>
  <c r="L33"/>
  <c r="H119" i="17"/>
  <c r="G119"/>
  <c r="F120"/>
  <c r="H27"/>
  <c r="G27"/>
  <c r="G26" i="18"/>
  <c r="J26"/>
  <c r="E30" i="32"/>
  <c r="F30" s="1"/>
  <c r="K59" i="16"/>
  <c r="K33"/>
  <c r="D59" i="32" l="1"/>
  <c r="F29" i="37"/>
  <c r="G57" i="32"/>
  <c r="F58"/>
  <c r="G30"/>
  <c r="I28" i="37"/>
  <c r="G28"/>
  <c r="H28"/>
  <c r="H26"/>
  <c r="I26"/>
  <c r="G26"/>
  <c r="H120" i="17"/>
  <c r="G120"/>
  <c r="G27" i="18"/>
  <c r="J27"/>
  <c r="F29"/>
  <c r="E27"/>
  <c r="D29"/>
  <c r="E29" s="1"/>
  <c r="F121" i="17"/>
  <c r="H28"/>
  <c r="H30" s="1"/>
  <c r="G28"/>
  <c r="G30" s="1"/>
  <c r="F30"/>
  <c r="E31" i="32"/>
  <c r="C33"/>
  <c r="I29" i="37" l="1"/>
  <c r="G29"/>
  <c r="H29"/>
  <c r="F30"/>
  <c r="G58" i="32"/>
  <c r="G29" i="18"/>
  <c r="J29"/>
  <c r="F31" i="32"/>
  <c r="G31" s="1"/>
  <c r="E33"/>
  <c r="H121" i="17"/>
  <c r="H123" s="1"/>
  <c r="G121"/>
  <c r="G123" s="1"/>
  <c r="F123"/>
  <c r="G33" i="32" l="1"/>
  <c r="F31" i="37"/>
  <c r="F33" s="1"/>
  <c r="I33" s="1"/>
  <c r="G59" i="32"/>
  <c r="I30" i="37"/>
  <c r="G30"/>
  <c r="H30"/>
  <c r="F59" i="32"/>
  <c r="F33"/>
  <c r="I31" i="37" l="1"/>
  <c r="G31"/>
  <c r="G33" s="1"/>
  <c r="H31"/>
  <c r="H33" s="1"/>
</calcChain>
</file>

<file path=xl/sharedStrings.xml><?xml version="1.0" encoding="utf-8"?>
<sst xmlns="http://schemas.openxmlformats.org/spreadsheetml/2006/main" count="1780" uniqueCount="164">
  <si>
    <t>Boot Camp Insurance Company</t>
  </si>
  <si>
    <t>Liability</t>
  </si>
  <si>
    <t>Paid Loss</t>
  </si>
  <si>
    <t>Accident</t>
  </si>
  <si>
    <t>Evaluation Age (Months)</t>
  </si>
  <si>
    <t>Year</t>
  </si>
  <si>
    <t>.</t>
  </si>
  <si>
    <t/>
  </si>
  <si>
    <t>Development Factors by Period:</t>
  </si>
  <si>
    <t>12-24</t>
  </si>
  <si>
    <t>24-36</t>
  </si>
  <si>
    <t>36-48</t>
  </si>
  <si>
    <t>48-60</t>
  </si>
  <si>
    <t>60-72</t>
  </si>
  <si>
    <t>72-84</t>
  </si>
  <si>
    <t>84-96</t>
  </si>
  <si>
    <t>96-108</t>
  </si>
  <si>
    <t>108-120</t>
  </si>
  <si>
    <t>120-132</t>
  </si>
  <si>
    <t>132-144</t>
  </si>
  <si>
    <t>144-156</t>
  </si>
  <si>
    <t>156-168</t>
  </si>
  <si>
    <t>168-180</t>
  </si>
  <si>
    <t>180-Ult</t>
  </si>
  <si>
    <t>Numeric Averages</t>
  </si>
  <si>
    <t>3 Year</t>
  </si>
  <si>
    <t>5 Year</t>
  </si>
  <si>
    <t>5 Yr x H/L</t>
  </si>
  <si>
    <t>All Year</t>
  </si>
  <si>
    <t>3 Yr Wtd</t>
  </si>
  <si>
    <t>5 Yr Wtd</t>
  </si>
  <si>
    <t>Benchmark</t>
  </si>
  <si>
    <t>Prior Select</t>
  </si>
  <si>
    <t>N/A</t>
  </si>
  <si>
    <t>Selection</t>
  </si>
  <si>
    <t>Cumulative LDF</t>
  </si>
  <si>
    <t>FirstMonth</t>
  </si>
  <si>
    <t>EndYear</t>
  </si>
  <si>
    <t>EvalDate</t>
  </si>
  <si>
    <t>Incurred Loss</t>
  </si>
  <si>
    <t>Paid DCC</t>
  </si>
  <si>
    <t>LOB</t>
  </si>
  <si>
    <t>DataType</t>
  </si>
  <si>
    <t>Reported Claim Counts</t>
  </si>
  <si>
    <t>Closed Claim Counts</t>
  </si>
  <si>
    <t>(1)</t>
  </si>
  <si>
    <t>(2)</t>
  </si>
  <si>
    <t>(3)</t>
  </si>
  <si>
    <t>(4)</t>
  </si>
  <si>
    <t>(5)</t>
  </si>
  <si>
    <t>(6)</t>
  </si>
  <si>
    <t>(7)</t>
  </si>
  <si>
    <t>Paid</t>
  </si>
  <si>
    <t>Loss</t>
  </si>
  <si>
    <t>Estimated</t>
  </si>
  <si>
    <t>Development</t>
  </si>
  <si>
    <t>Reserves</t>
  </si>
  <si>
    <t>Age</t>
  </si>
  <si>
    <t>Premium</t>
  </si>
  <si>
    <t>CDF</t>
  </si>
  <si>
    <t>Method</t>
  </si>
  <si>
    <t>PLDM</t>
  </si>
  <si>
    <t>Ratio</t>
  </si>
  <si>
    <t>Total</t>
  </si>
  <si>
    <t>Incurred</t>
  </si>
  <si>
    <t>ILDM</t>
  </si>
  <si>
    <t>Incurred Loss Development Method</t>
  </si>
  <si>
    <t>Paid Loss Development Method</t>
  </si>
  <si>
    <t>DCC</t>
  </si>
  <si>
    <t>PDCC LDM</t>
  </si>
  <si>
    <t>Paid DCC Development Method</t>
  </si>
  <si>
    <t>Reported Claim Development</t>
  </si>
  <si>
    <t>Count</t>
  </si>
  <si>
    <t>Ultimate</t>
  </si>
  <si>
    <t>Reported</t>
  </si>
  <si>
    <t>Frequency</t>
  </si>
  <si>
    <t>Counts</t>
  </si>
  <si>
    <t>DF</t>
  </si>
  <si>
    <t>Closed Claim Development</t>
  </si>
  <si>
    <t>Closed</t>
  </si>
  <si>
    <t>Expected Loss Ratio Method</t>
  </si>
  <si>
    <t>ELM</t>
  </si>
  <si>
    <t>Loss Ratio</t>
  </si>
  <si>
    <t>Expected</t>
  </si>
  <si>
    <t>Paid LDM</t>
  </si>
  <si>
    <t>Inc LDM</t>
  </si>
  <si>
    <t>Paid Bornhuetter-Ferguson Method</t>
  </si>
  <si>
    <t>(8)</t>
  </si>
  <si>
    <t>Paid BF</t>
  </si>
  <si>
    <t>IBNR</t>
  </si>
  <si>
    <t>Factor</t>
  </si>
  <si>
    <t>PBFM</t>
  </si>
  <si>
    <t>Incurred Bornhuetter-Ferguson Method</t>
  </si>
  <si>
    <t>Incurred BF</t>
  </si>
  <si>
    <t>IBFM</t>
  </si>
  <si>
    <t>Paid DCC / Paid Loss</t>
  </si>
  <si>
    <t>Pd Pd</t>
  </si>
  <si>
    <t>DCC Ratio</t>
  </si>
  <si>
    <t>Average Reported</t>
  </si>
  <si>
    <t>Average Paid</t>
  </si>
  <si>
    <t>Average O/S</t>
  </si>
  <si>
    <t>Closed to Reported Claim Ratios</t>
  </si>
  <si>
    <t>FREE COLUMNS</t>
  </si>
  <si>
    <t>Selection of Ultimate Loss</t>
  </si>
  <si>
    <t>(9)</t>
  </si>
  <si>
    <t>(10)</t>
  </si>
  <si>
    <t>(11)</t>
  </si>
  <si>
    <t>(12)</t>
  </si>
  <si>
    <t>(13)</t>
  </si>
  <si>
    <t>(14)</t>
  </si>
  <si>
    <t>Bornhuetter</t>
  </si>
  <si>
    <t>Average</t>
  </si>
  <si>
    <t>Case</t>
  </si>
  <si>
    <t>Ferguson</t>
  </si>
  <si>
    <t>of</t>
  </si>
  <si>
    <t>Methods</t>
  </si>
  <si>
    <t>(15)</t>
  </si>
  <si>
    <t>(16)</t>
  </si>
  <si>
    <t>(17)</t>
  </si>
  <si>
    <t>(18)</t>
  </si>
  <si>
    <t>(19)</t>
  </si>
  <si>
    <t>(20)</t>
  </si>
  <si>
    <t>(21)</t>
  </si>
  <si>
    <t>Indicated Ultimate Loss Ratio</t>
  </si>
  <si>
    <t>(2)+(3)</t>
  </si>
  <si>
    <t>Selected</t>
  </si>
  <si>
    <t>to</t>
  </si>
  <si>
    <t>Severity</t>
  </si>
  <si>
    <t>As of</t>
  </si>
  <si>
    <t>Unpaid</t>
  </si>
  <si>
    <t>Actual</t>
  </si>
  <si>
    <t>Selection of Ultimate DCC</t>
  </si>
  <si>
    <t>Indicated Ultimate DCC Ratio</t>
  </si>
  <si>
    <t>Ratio Paid Loss to Incurred Loss</t>
  </si>
  <si>
    <t>Paid to Paid DCC Development Method</t>
  </si>
  <si>
    <t>Summary of Reserves - Loss Only</t>
  </si>
  <si>
    <t>Analysis Metrics -  Loss Only</t>
  </si>
  <si>
    <t>LDFs</t>
  </si>
  <si>
    <t>Per 100K Prem</t>
  </si>
  <si>
    <t>Open Claim</t>
  </si>
  <si>
    <t>IBNR Claim</t>
  </si>
  <si>
    <t>Premium by Year</t>
  </si>
  <si>
    <t>From Exercise 15 - Ult Loss Selection</t>
  </si>
  <si>
    <t>Earned</t>
  </si>
  <si>
    <t>Loss &amp; DCC</t>
  </si>
  <si>
    <t xml:space="preserve"> Loss &amp; DCC</t>
  </si>
  <si>
    <t>Case Loss</t>
  </si>
  <si>
    <t>Summary of Reserves - Loss &amp; DCC</t>
  </si>
  <si>
    <t>Reserve</t>
  </si>
  <si>
    <t>Sum Incurred / Sum Paid at 168 Months</t>
  </si>
  <si>
    <t>Ratio Paid DCC to Paid Loss</t>
  </si>
  <si>
    <t>Hint: Update Exhibit 6 Paid LDFs with selected tail factor</t>
  </si>
  <si>
    <t>Hint: Use answers from Exercises 7 &amp; 8</t>
  </si>
  <si>
    <t>after updating Exercise 6 - Paid LDFs</t>
  </si>
  <si>
    <t>for Tail Factor in Exercise 9 - Pd LDFs for ELR</t>
  </si>
  <si>
    <t>Hint: Round to 3 places</t>
  </si>
  <si>
    <t>Hint: Do Not Round</t>
  </si>
  <si>
    <t>Hint: Round to three places</t>
  </si>
  <si>
    <t>To Paid Loss</t>
  </si>
  <si>
    <t>Incurred  Loss</t>
  </si>
  <si>
    <t>= (2) / (3)</t>
  </si>
  <si>
    <t>= (5) / (1)</t>
  </si>
  <si>
    <t>= (7) / [(1) / 100,000]</t>
  </si>
  <si>
    <t>= (5) / (7)</t>
  </si>
</sst>
</file>

<file path=xl/styles.xml><?xml version="1.0" encoding="utf-8"?>
<styleSheet xmlns="http://schemas.openxmlformats.org/spreadsheetml/2006/main">
  <numFmts count="11">
    <numFmt numFmtId="41" formatCode="_(* #,##0_);_(* \(#,##0\);_(* &quot;-&quot;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_(* #,##0.000_);_(* \(#,##0.000\);_(* &quot;-&quot;???_);_(@_)"/>
    <numFmt numFmtId="167" formatCode="_(* #,##0.000_);_(* \(#,##0.000\);_(* &quot;-&quot;??_);_(@_)"/>
    <numFmt numFmtId="168" formatCode="_(* #,##0.00_);_(* \(#,##0.00\);_(* &quot;-&quot;_);_(@_)"/>
    <numFmt numFmtId="169" formatCode="0.0%"/>
    <numFmt numFmtId="170" formatCode="_(* #,##0_);_(* \(#,##0\);_(* &quot;-&quot;?_);_(@_)"/>
    <numFmt numFmtId="171" formatCode="mm/dd/yyyy"/>
    <numFmt numFmtId="172" formatCode="_(* #,##0.0000_);_(* \(#,##0.0000\);_(* &quot;-&quot;??_);_(@_)"/>
  </numFmts>
  <fonts count="22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70C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sz val="11"/>
      <color indexed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color theme="0"/>
      <name val="Arial"/>
      <family val="2"/>
    </font>
    <font>
      <b/>
      <i/>
      <sz val="10"/>
      <color theme="1"/>
      <name val="Arial"/>
      <family val="2"/>
    </font>
    <font>
      <b/>
      <i/>
      <sz val="11"/>
      <name val="Times New Roman"/>
      <family val="1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3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3" fillId="0" borderId="0" xfId="0" applyFont="1" applyAlignment="1" applyProtection="1">
      <alignment horizontal="center"/>
    </xf>
    <xf numFmtId="164" fontId="5" fillId="0" borderId="0" xfId="0" quotePrefix="1" applyNumberFormat="1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Continuous"/>
    </xf>
    <xf numFmtId="0" fontId="4" fillId="0" borderId="3" xfId="0" applyFont="1" applyBorder="1" applyAlignment="1" applyProtection="1">
      <alignment horizontal="centerContinuous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0" fillId="0" borderId="6" xfId="0" applyBorder="1" applyAlignment="1" applyProtection="1">
      <alignment horizontal="center"/>
    </xf>
    <xf numFmtId="165" fontId="2" fillId="0" borderId="0" xfId="1" applyNumberFormat="1" applyFont="1" applyProtection="1"/>
    <xf numFmtId="41" fontId="6" fillId="0" borderId="0" xfId="0" quotePrefix="1" applyNumberFormat="1" applyFont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4" fontId="0" fillId="0" borderId="0" xfId="0" quotePrefix="1" applyNumberFormat="1" applyAlignment="1" applyProtection="1">
      <alignment horizontal="center"/>
    </xf>
    <xf numFmtId="164" fontId="7" fillId="0" borderId="0" xfId="0" applyNumberFormat="1" applyFont="1" applyAlignment="1" applyProtection="1">
      <alignment horizontal="left"/>
    </xf>
    <xf numFmtId="164" fontId="3" fillId="0" borderId="0" xfId="0" quotePrefix="1" applyNumberFormat="1" applyFont="1" applyAlignment="1" applyProtection="1">
      <alignment horizontal="center"/>
    </xf>
    <xf numFmtId="0" fontId="0" fillId="0" borderId="0" xfId="0" applyProtection="1"/>
    <xf numFmtId="0" fontId="4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Continuous"/>
    </xf>
    <xf numFmtId="0" fontId="3" fillId="0" borderId="3" xfId="0" applyFont="1" applyBorder="1" applyAlignment="1" applyProtection="1">
      <alignment horizontal="centerContinuous"/>
    </xf>
    <xf numFmtId="0" fontId="3" fillId="0" borderId="5" xfId="0" quotePrefix="1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166" fontId="3" fillId="0" borderId="0" xfId="0" applyNumberFormat="1" applyFont="1" applyAlignment="1" applyProtection="1">
      <alignment horizontal="center"/>
    </xf>
    <xf numFmtId="166" fontId="3" fillId="0" borderId="0" xfId="0" applyNumberFormat="1" applyFont="1" applyProtection="1"/>
    <xf numFmtId="166" fontId="4" fillId="0" borderId="0" xfId="0" quotePrefix="1" applyNumberFormat="1" applyFont="1" applyProtection="1"/>
    <xf numFmtId="166" fontId="4" fillId="0" borderId="0" xfId="0" applyNumberFormat="1" applyFont="1" applyProtection="1"/>
    <xf numFmtId="164" fontId="3" fillId="0" borderId="0" xfId="0" applyNumberFormat="1" applyFont="1" applyAlignment="1" applyProtection="1">
      <alignment horizontal="center"/>
    </xf>
    <xf numFmtId="164" fontId="9" fillId="3" borderId="5" xfId="0" quotePrefix="1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0" borderId="0" xfId="0" quotePrefix="1" applyAlignment="1">
      <alignment horizontal="left"/>
    </xf>
    <xf numFmtId="0" fontId="3" fillId="0" borderId="0" xfId="0" applyFont="1"/>
    <xf numFmtId="0" fontId="4" fillId="0" borderId="0" xfId="0" applyFont="1"/>
    <xf numFmtId="41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165" fontId="2" fillId="0" borderId="0" xfId="1" applyNumberFormat="1" applyFont="1"/>
    <xf numFmtId="0" fontId="3" fillId="0" borderId="4" xfId="0" applyFont="1" applyBorder="1" applyAlignment="1">
      <alignment horizontal="center"/>
    </xf>
    <xf numFmtId="165" fontId="8" fillId="0" borderId="0" xfId="1" applyNumberFormat="1" applyFont="1"/>
    <xf numFmtId="164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5" xfId="0" quotePrefix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0" xfId="0" applyNumberFormat="1" applyFont="1"/>
    <xf numFmtId="166" fontId="4" fillId="0" borderId="0" xfId="0" quotePrefix="1" applyNumberFormat="1" applyFont="1"/>
    <xf numFmtId="166" fontId="4" fillId="0" borderId="0" xfId="0" applyNumberFormat="1" applyFont="1"/>
    <xf numFmtId="164" fontId="3" fillId="0" borderId="0" xfId="0" applyNumberFormat="1" applyFont="1" applyAlignment="1">
      <alignment horizontal="center"/>
    </xf>
    <xf numFmtId="0" fontId="3" fillId="0" borderId="0" xfId="0" applyFont="1" applyFill="1" applyProtection="1"/>
    <xf numFmtId="0" fontId="3" fillId="0" borderId="0" xfId="0" applyFont="1" applyFill="1"/>
    <xf numFmtId="0" fontId="3" fillId="2" borderId="0" xfId="0" applyFont="1" applyFill="1"/>
    <xf numFmtId="164" fontId="5" fillId="0" borderId="0" xfId="0" quotePrefix="1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1" fontId="6" fillId="0" borderId="0" xfId="0" quotePrefix="1" applyNumberFormat="1" applyFont="1" applyAlignment="1">
      <alignment horizontal="center"/>
    </xf>
    <xf numFmtId="164" fontId="7" fillId="0" borderId="0" xfId="0" applyNumberFormat="1" applyFont="1" applyAlignment="1">
      <alignment horizontal="left"/>
    </xf>
    <xf numFmtId="164" fontId="0" fillId="0" borderId="0" xfId="0" quotePrefix="1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quotePrefix="1" applyFont="1" applyBorder="1" applyAlignment="1">
      <alignment horizontal="center"/>
    </xf>
    <xf numFmtId="0" fontId="10" fillId="0" borderId="4" xfId="0" quotePrefix="1" applyFont="1" applyBorder="1" applyAlignment="1">
      <alignment horizontal="center"/>
    </xf>
    <xf numFmtId="0" fontId="10" fillId="0" borderId="0" xfId="0" quotePrefix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10" xfId="0" applyBorder="1"/>
    <xf numFmtId="0" fontId="0" fillId="0" borderId="0" xfId="0" applyBorder="1"/>
    <xf numFmtId="165" fontId="0" fillId="0" borderId="6" xfId="1" applyNumberFormat="1" applyFont="1" applyFill="1" applyBorder="1" applyAlignment="1">
      <alignment horizontal="center"/>
    </xf>
    <xf numFmtId="41" fontId="0" fillId="0" borderId="4" xfId="0" applyNumberFormat="1" applyBorder="1"/>
    <xf numFmtId="41" fontId="0" fillId="0" borderId="10" xfId="0" applyNumberFormat="1" applyBorder="1"/>
    <xf numFmtId="0" fontId="0" fillId="0" borderId="11" xfId="0" applyBorder="1" applyAlignment="1">
      <alignment horizontal="center"/>
    </xf>
    <xf numFmtId="41" fontId="0" fillId="0" borderId="5" xfId="0" applyNumberFormat="1" applyBorder="1" applyAlignment="1">
      <alignment horizontal="center"/>
    </xf>
    <xf numFmtId="41" fontId="0" fillId="0" borderId="5" xfId="0" applyNumberFormat="1" applyBorder="1"/>
    <xf numFmtId="0" fontId="11" fillId="0" borderId="0" xfId="0" applyFont="1"/>
    <xf numFmtId="0" fontId="11" fillId="0" borderId="0" xfId="0" applyFont="1" applyAlignment="1">
      <alignment horizontal="left" indent="2"/>
    </xf>
    <xf numFmtId="165" fontId="0" fillId="3" borderId="5" xfId="0" applyNumberFormat="1" applyFill="1" applyBorder="1" applyAlignment="1" applyProtection="1">
      <alignment horizontal="center"/>
      <protection locked="0"/>
    </xf>
    <xf numFmtId="165" fontId="0" fillId="0" borderId="0" xfId="0" applyNumberFormat="1"/>
    <xf numFmtId="0" fontId="10" fillId="0" borderId="0" xfId="0" quotePrefix="1" applyFont="1" applyAlignment="1">
      <alignment horizontal="left"/>
    </xf>
    <xf numFmtId="0" fontId="0" fillId="0" borderId="8" xfId="0" applyBorder="1"/>
    <xf numFmtId="165" fontId="0" fillId="0" borderId="8" xfId="1" applyNumberFormat="1" applyFont="1" applyBorder="1"/>
    <xf numFmtId="165" fontId="0" fillId="0" borderId="4" xfId="1" applyNumberFormat="1" applyFont="1" applyBorder="1"/>
    <xf numFmtId="165" fontId="0" fillId="0" borderId="5" xfId="1" applyNumberFormat="1" applyFont="1" applyBorder="1" applyAlignment="1">
      <alignment horizontal="center"/>
    </xf>
    <xf numFmtId="165" fontId="0" fillId="0" borderId="0" xfId="1" applyNumberFormat="1" applyFont="1"/>
    <xf numFmtId="0" fontId="0" fillId="0" borderId="1" xfId="0" applyBorder="1" applyAlignment="1">
      <alignment horizontal="center"/>
    </xf>
    <xf numFmtId="41" fontId="0" fillId="0" borderId="6" xfId="0" applyNumberFormat="1" applyBorder="1"/>
    <xf numFmtId="164" fontId="0" fillId="2" borderId="6" xfId="0" applyNumberFormat="1" applyFill="1" applyBorder="1" applyAlignment="1">
      <alignment horizontal="center"/>
    </xf>
    <xf numFmtId="168" fontId="6" fillId="0" borderId="10" xfId="0" applyNumberFormat="1" applyFont="1" applyBorder="1"/>
    <xf numFmtId="41" fontId="0" fillId="0" borderId="6" xfId="0" applyNumberFormat="1" applyBorder="1" applyAlignment="1">
      <alignment horizontal="center"/>
    </xf>
    <xf numFmtId="0" fontId="10" fillId="0" borderId="12" xfId="0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6" xfId="1" applyNumberFormat="1" applyFont="1" applyBorder="1"/>
    <xf numFmtId="10" fontId="0" fillId="0" borderId="6" xfId="2" applyNumberFormat="1" applyFont="1" applyBorder="1"/>
    <xf numFmtId="10" fontId="0" fillId="0" borderId="5" xfId="2" applyNumberFormat="1" applyFont="1" applyBorder="1"/>
    <xf numFmtId="0" fontId="13" fillId="2" borderId="0" xfId="0" applyFont="1" applyFill="1" applyAlignment="1">
      <alignment horizontal="right"/>
    </xf>
    <xf numFmtId="10" fontId="13" fillId="2" borderId="0" xfId="0" applyNumberFormat="1" applyFont="1" applyFill="1"/>
    <xf numFmtId="0" fontId="0" fillId="0" borderId="8" xfId="0" applyFill="1" applyBorder="1" applyAlignment="1">
      <alignment horizontal="center"/>
    </xf>
    <xf numFmtId="165" fontId="0" fillId="0" borderId="8" xfId="1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9" fontId="2" fillId="0" borderId="0" xfId="2" applyNumberFormat="1" applyFont="1"/>
    <xf numFmtId="0" fontId="3" fillId="0" borderId="0" xfId="0" applyFont="1" applyProtection="1">
      <protection locked="0"/>
    </xf>
    <xf numFmtId="169" fontId="0" fillId="0" borderId="8" xfId="2" applyNumberFormat="1" applyFont="1" applyBorder="1"/>
    <xf numFmtId="169" fontId="0" fillId="0" borderId="0" xfId="2" applyNumberFormat="1" applyFont="1" applyBorder="1"/>
    <xf numFmtId="10" fontId="2" fillId="0" borderId="0" xfId="2" applyNumberFormat="1" applyFont="1"/>
    <xf numFmtId="0" fontId="3" fillId="0" borderId="5" xfId="0" applyFont="1" applyBorder="1" applyProtection="1">
      <protection locked="0"/>
    </xf>
    <xf numFmtId="169" fontId="2" fillId="0" borderId="0" xfId="2" applyNumberFormat="1" applyFont="1" applyBorder="1" applyAlignment="1">
      <alignment horizontal="center"/>
    </xf>
    <xf numFmtId="165" fontId="3" fillId="0" borderId="0" xfId="1" applyNumberFormat="1" applyFont="1"/>
    <xf numFmtId="0" fontId="3" fillId="3" borderId="5" xfId="0" applyFont="1" applyFill="1" applyBorder="1" applyProtection="1">
      <protection locked="0"/>
    </xf>
    <xf numFmtId="0" fontId="14" fillId="0" borderId="5" xfId="0" applyFont="1" applyFill="1" applyBorder="1" applyProtection="1">
      <protection locked="0"/>
    </xf>
    <xf numFmtId="0" fontId="0" fillId="0" borderId="7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0" fillId="0" borderId="3" xfId="0" applyBorder="1"/>
    <xf numFmtId="170" fontId="12" fillId="2" borderId="8" xfId="0" applyNumberFormat="1" applyFont="1" applyFill="1" applyBorder="1" applyAlignment="1">
      <alignment horizontal="center"/>
    </xf>
    <xf numFmtId="41" fontId="0" fillId="0" borderId="14" xfId="0" applyNumberFormat="1" applyBorder="1"/>
    <xf numFmtId="0" fontId="0" fillId="0" borderId="9" xfId="0" applyBorder="1"/>
    <xf numFmtId="0" fontId="0" fillId="0" borderId="12" xfId="0" applyBorder="1"/>
    <xf numFmtId="0" fontId="0" fillId="0" borderId="14" xfId="0" applyBorder="1"/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0" fillId="4" borderId="4" xfId="0" quotePrefix="1" applyFont="1" applyFill="1" applyBorder="1" applyAlignment="1">
      <alignment horizontal="center"/>
    </xf>
    <xf numFmtId="0" fontId="10" fillId="4" borderId="6" xfId="0" quotePrefix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3" xfId="0" applyFill="1" applyBorder="1"/>
    <xf numFmtId="170" fontId="12" fillId="4" borderId="8" xfId="0" applyNumberFormat="1" applyFont="1" applyFill="1" applyBorder="1" applyAlignment="1">
      <alignment horizontal="center"/>
    </xf>
    <xf numFmtId="41" fontId="0" fillId="4" borderId="6" xfId="0" applyNumberFormat="1" applyFill="1" applyBorder="1"/>
    <xf numFmtId="41" fontId="0" fillId="4" borderId="10" xfId="0" applyNumberFormat="1" applyFill="1" applyBorder="1"/>
    <xf numFmtId="41" fontId="0" fillId="4" borderId="6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4" borderId="14" xfId="0" applyNumberFormat="1" applyFill="1" applyBorder="1"/>
    <xf numFmtId="41" fontId="0" fillId="4" borderId="5" xfId="0" applyNumberForma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/>
    <xf numFmtId="0" fontId="10" fillId="2" borderId="5" xfId="0" quotePrefix="1" applyFont="1" applyFill="1" applyBorder="1" applyAlignment="1">
      <alignment horizontal="center"/>
    </xf>
    <xf numFmtId="0" fontId="10" fillId="0" borderId="7" xfId="0" applyFont="1" applyBorder="1"/>
    <xf numFmtId="0" fontId="0" fillId="0" borderId="4" xfId="0" applyBorder="1"/>
    <xf numFmtId="0" fontId="10" fillId="0" borderId="11" xfId="0" applyFont="1" applyBorder="1" applyAlignment="1">
      <alignment horizontal="center"/>
    </xf>
    <xf numFmtId="41" fontId="0" fillId="0" borderId="0" xfId="0" applyNumberFormat="1"/>
    <xf numFmtId="0" fontId="10" fillId="0" borderId="15" xfId="0" applyFont="1" applyBorder="1" applyAlignment="1">
      <alignment horizontal="center"/>
    </xf>
    <xf numFmtId="0" fontId="10" fillId="2" borderId="16" xfId="0" quotePrefix="1" applyFont="1" applyFill="1" applyBorder="1" applyAlignment="1">
      <alignment horizontal="center"/>
    </xf>
    <xf numFmtId="0" fontId="10" fillId="0" borderId="9" xfId="0" quotePrefix="1" applyFont="1" applyBorder="1" applyAlignment="1">
      <alignment horizontal="center"/>
    </xf>
    <xf numFmtId="0" fontId="10" fillId="0" borderId="17" xfId="0" quotePrefix="1" applyFont="1" applyBorder="1" applyAlignment="1">
      <alignment horizontal="center"/>
    </xf>
    <xf numFmtId="0" fontId="10" fillId="0" borderId="18" xfId="0" quotePrefix="1" applyFont="1" applyBorder="1" applyAlignment="1">
      <alignment horizontal="center"/>
    </xf>
    <xf numFmtId="0" fontId="10" fillId="0" borderId="19" xfId="0" quotePrefix="1" applyFont="1" applyBorder="1" applyAlignment="1">
      <alignment horizontal="center"/>
    </xf>
    <xf numFmtId="0" fontId="10" fillId="0" borderId="20" xfId="0" quotePrefix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0" fillId="0" borderId="7" xfId="0" applyBorder="1"/>
    <xf numFmtId="0" fontId="0" fillId="0" borderId="21" xfId="0" applyBorder="1"/>
    <xf numFmtId="0" fontId="0" fillId="0" borderId="22" xfId="0" applyBorder="1"/>
    <xf numFmtId="41" fontId="0" fillId="0" borderId="8" xfId="0" applyNumberFormat="1" applyBorder="1"/>
    <xf numFmtId="41" fontId="0" fillId="0" borderId="17" xfId="0" applyNumberFormat="1" applyBorder="1"/>
    <xf numFmtId="169" fontId="0" fillId="0" borderId="20" xfId="2" applyNumberFormat="1" applyFont="1" applyBorder="1"/>
    <xf numFmtId="168" fontId="0" fillId="0" borderId="6" xfId="0" applyNumberFormat="1" applyBorder="1"/>
    <xf numFmtId="0" fontId="0" fillId="0" borderId="19" xfId="0" applyBorder="1"/>
    <xf numFmtId="0" fontId="0" fillId="0" borderId="18" xfId="0" applyBorder="1"/>
    <xf numFmtId="169" fontId="0" fillId="0" borderId="18" xfId="2" applyNumberFormat="1" applyFont="1" applyBorder="1"/>
    <xf numFmtId="168" fontId="0" fillId="0" borderId="4" xfId="0" applyNumberFormat="1" applyBorder="1"/>
    <xf numFmtId="41" fontId="0" fillId="0" borderId="11" xfId="0" applyNumberFormat="1" applyBorder="1"/>
    <xf numFmtId="41" fontId="0" fillId="0" borderId="23" xfId="0" applyNumberFormat="1" applyBorder="1"/>
    <xf numFmtId="41" fontId="0" fillId="0" borderId="24" xfId="0" applyNumberFormat="1" applyBorder="1"/>
    <xf numFmtId="169" fontId="0" fillId="0" borderId="25" xfId="2" applyNumberFormat="1" applyFont="1" applyBorder="1"/>
    <xf numFmtId="168" fontId="0" fillId="0" borderId="24" xfId="0" applyNumberFormat="1" applyBorder="1"/>
    <xf numFmtId="0" fontId="15" fillId="0" borderId="0" xfId="0" quotePrefix="1" applyFont="1" applyFill="1" applyAlignment="1" applyProtection="1">
      <alignment horizontal="left"/>
    </xf>
    <xf numFmtId="0" fontId="15" fillId="0" borderId="0" xfId="0" applyFont="1" applyFill="1" applyProtection="1"/>
    <xf numFmtId="0" fontId="12" fillId="5" borderId="0" xfId="0" applyFont="1" applyFill="1" applyProtection="1"/>
    <xf numFmtId="165" fontId="3" fillId="0" borderId="0" xfId="0" applyNumberFormat="1" applyFont="1"/>
    <xf numFmtId="171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3" fillId="0" borderId="0" xfId="0" quotePrefix="1" applyFont="1" applyBorder="1" applyAlignment="1">
      <alignment horizontal="center"/>
    </xf>
    <xf numFmtId="164" fontId="9" fillId="3" borderId="0" xfId="0" quotePrefix="1" applyNumberFormat="1" applyFont="1" applyFill="1" applyBorder="1" applyAlignment="1" applyProtection="1">
      <alignment horizontal="center"/>
      <protection locked="0"/>
    </xf>
    <xf numFmtId="164" fontId="9" fillId="6" borderId="5" xfId="0" quotePrefix="1" applyNumberFormat="1" applyFont="1" applyFill="1" applyBorder="1" applyAlignment="1" applyProtection="1">
      <alignment horizontal="center"/>
      <protection locked="0"/>
    </xf>
    <xf numFmtId="164" fontId="3" fillId="0" borderId="0" xfId="0" quotePrefix="1" applyNumberFormat="1" applyFont="1" applyFill="1" applyAlignment="1" applyProtection="1">
      <alignment horizontal="center"/>
    </xf>
    <xf numFmtId="41" fontId="0" fillId="3" borderId="17" xfId="0" applyNumberFormat="1" applyFill="1" applyBorder="1"/>
    <xf numFmtId="0" fontId="0" fillId="3" borderId="19" xfId="0" applyFill="1" applyBorder="1"/>
    <xf numFmtId="41" fontId="0" fillId="3" borderId="23" xfId="0" applyNumberFormat="1" applyFill="1" applyBorder="1"/>
    <xf numFmtId="41" fontId="0" fillId="3" borderId="20" xfId="0" applyNumberFormat="1" applyFill="1" applyBorder="1"/>
    <xf numFmtId="0" fontId="0" fillId="3" borderId="18" xfId="0" applyFill="1" applyBorder="1"/>
    <xf numFmtId="41" fontId="0" fillId="3" borderId="25" xfId="0" applyNumberFormat="1" applyFill="1" applyBorder="1"/>
    <xf numFmtId="41" fontId="0" fillId="3" borderId="5" xfId="0" applyNumberFormat="1" applyFill="1" applyBorder="1"/>
    <xf numFmtId="41" fontId="13" fillId="3" borderId="6" xfId="0" applyNumberFormat="1" applyFont="1" applyFill="1" applyBorder="1" applyProtection="1">
      <protection locked="0"/>
    </xf>
    <xf numFmtId="41" fontId="0" fillId="3" borderId="10" xfId="0" applyNumberFormat="1" applyFill="1" applyBorder="1"/>
    <xf numFmtId="41" fontId="0" fillId="3" borderId="5" xfId="0" applyNumberFormat="1" applyFill="1" applyBorder="1" applyAlignment="1">
      <alignment horizontal="center"/>
    </xf>
    <xf numFmtId="10" fontId="0" fillId="0" borderId="8" xfId="2" applyNumberFormat="1" applyFont="1" applyBorder="1"/>
    <xf numFmtId="10" fontId="13" fillId="3" borderId="6" xfId="2" applyNumberFormat="1" applyFont="1" applyFill="1" applyBorder="1"/>
    <xf numFmtId="0" fontId="10" fillId="4" borderId="9" xfId="0" applyFont="1" applyFill="1" applyBorder="1" applyAlignment="1">
      <alignment horizontal="center"/>
    </xf>
    <xf numFmtId="0" fontId="4" fillId="0" borderId="0" xfId="0" quotePrefix="1" applyFont="1" applyAlignment="1">
      <alignment horizontal="left"/>
    </xf>
    <xf numFmtId="169" fontId="0" fillId="0" borderId="6" xfId="2" applyNumberFormat="1" applyFont="1" applyBorder="1"/>
    <xf numFmtId="167" fontId="0" fillId="3" borderId="8" xfId="1" applyNumberFormat="1" applyFont="1" applyFill="1" applyBorder="1"/>
    <xf numFmtId="169" fontId="12" fillId="3" borderId="6" xfId="2" applyNumberFormat="1" applyFont="1" applyFill="1" applyBorder="1" applyAlignment="1" applyProtection="1">
      <alignment horizontal="center"/>
      <protection locked="0"/>
    </xf>
    <xf numFmtId="165" fontId="6" fillId="3" borderId="6" xfId="1" applyNumberFormat="1" applyFont="1" applyFill="1" applyBorder="1" applyAlignment="1" applyProtection="1">
      <alignment horizontal="center"/>
      <protection locked="0"/>
    </xf>
    <xf numFmtId="167" fontId="6" fillId="3" borderId="6" xfId="1" applyNumberFormat="1" applyFont="1" applyFill="1" applyBorder="1" applyAlignment="1" applyProtection="1">
      <alignment horizontal="center"/>
      <protection locked="0"/>
    </xf>
    <xf numFmtId="165" fontId="0" fillId="3" borderId="6" xfId="0" applyNumberFormat="1" applyFill="1" applyBorder="1" applyAlignment="1" applyProtection="1">
      <alignment horizontal="center"/>
      <protection locked="0"/>
    </xf>
    <xf numFmtId="41" fontId="0" fillId="3" borderId="6" xfId="0" applyNumberFormat="1" applyFill="1" applyBorder="1" applyProtection="1">
      <protection locked="0"/>
    </xf>
    <xf numFmtId="41" fontId="16" fillId="0" borderId="5" xfId="0" applyNumberFormat="1" applyFont="1" applyBorder="1" applyAlignment="1">
      <alignment horizontal="center"/>
    </xf>
    <xf numFmtId="0" fontId="0" fillId="0" borderId="0" xfId="0" applyFill="1"/>
    <xf numFmtId="0" fontId="10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1" fontId="0" fillId="0" borderId="0" xfId="0" applyNumberFormat="1" applyFill="1" applyBorder="1"/>
    <xf numFmtId="41" fontId="0" fillId="0" borderId="0" xfId="0" applyNumberFormat="1" applyFill="1" applyBorder="1" applyAlignment="1">
      <alignment horizontal="center"/>
    </xf>
    <xf numFmtId="167" fontId="0" fillId="0" borderId="0" xfId="1" applyNumberFormat="1" applyFont="1"/>
    <xf numFmtId="165" fontId="3" fillId="0" borderId="0" xfId="0" applyNumberFormat="1" applyFont="1" applyProtection="1"/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164" fontId="3" fillId="0" borderId="0" xfId="0" applyNumberFormat="1" applyFont="1" applyProtection="1">
      <protection hidden="1"/>
    </xf>
    <xf numFmtId="167" fontId="3" fillId="0" borderId="0" xfId="1" applyNumberFormat="1" applyFont="1" applyProtection="1">
      <protection hidden="1"/>
    </xf>
    <xf numFmtId="0" fontId="3" fillId="0" borderId="0" xfId="0" applyFont="1" applyAlignment="1" applyProtection="1">
      <alignment horizontal="center" wrapText="1"/>
    </xf>
    <xf numFmtId="10" fontId="3" fillId="0" borderId="0" xfId="2" applyNumberFormat="1" applyFont="1"/>
    <xf numFmtId="165" fontId="0" fillId="3" borderId="5" xfId="1" applyNumberFormat="1" applyFont="1" applyFill="1" applyBorder="1" applyAlignment="1" applyProtection="1">
      <alignment horizontal="center"/>
      <protection locked="0"/>
    </xf>
    <xf numFmtId="10" fontId="0" fillId="3" borderId="5" xfId="2" applyNumberFormat="1" applyFont="1" applyFill="1" applyBorder="1" applyAlignment="1" applyProtection="1">
      <alignment horizontal="center"/>
      <protection locked="0"/>
    </xf>
    <xf numFmtId="10" fontId="0" fillId="0" borderId="0" xfId="0" applyNumberFormat="1"/>
    <xf numFmtId="10" fontId="0" fillId="0" borderId="0" xfId="2" applyNumberFormat="1" applyFont="1"/>
    <xf numFmtId="43" fontId="0" fillId="0" borderId="5" xfId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Continuous"/>
    </xf>
    <xf numFmtId="0" fontId="10" fillId="0" borderId="14" xfId="0" applyFont="1" applyBorder="1" applyAlignment="1">
      <alignment horizontal="center"/>
    </xf>
    <xf numFmtId="167" fontId="0" fillId="3" borderId="6" xfId="1" applyNumberFormat="1" applyFont="1" applyFill="1" applyBorder="1"/>
    <xf numFmtId="165" fontId="0" fillId="3" borderId="6" xfId="1" applyNumberFormat="1" applyFont="1" applyFill="1" applyBorder="1"/>
    <xf numFmtId="165" fontId="0" fillId="3" borderId="5" xfId="1" applyNumberFormat="1" applyFont="1" applyFill="1" applyBorder="1" applyAlignment="1">
      <alignment horizontal="center"/>
    </xf>
    <xf numFmtId="41" fontId="0" fillId="3" borderId="6" xfId="0" applyNumberFormat="1" applyFill="1" applyBorder="1"/>
    <xf numFmtId="171" fontId="3" fillId="0" borderId="0" xfId="0" applyNumberFormat="1" applyFont="1" applyAlignment="1" applyProtection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67" fontId="0" fillId="3" borderId="6" xfId="1" applyNumberFormat="1" applyFont="1" applyFill="1" applyBorder="1" applyAlignment="1" applyProtection="1">
      <alignment horizontal="center"/>
      <protection locked="0"/>
    </xf>
    <xf numFmtId="165" fontId="0" fillId="3" borderId="6" xfId="1" applyNumberFormat="1" applyFont="1" applyFill="1" applyBorder="1" applyAlignment="1" applyProtection="1">
      <alignment horizontal="center"/>
      <protection locked="0"/>
    </xf>
    <xf numFmtId="10" fontId="0" fillId="3" borderId="6" xfId="2" applyNumberFormat="1" applyFont="1" applyFill="1" applyBorder="1" applyAlignment="1" applyProtection="1">
      <alignment horizontal="center"/>
      <protection locked="0"/>
    </xf>
    <xf numFmtId="10" fontId="0" fillId="0" borderId="4" xfId="0" applyNumberFormat="1" applyBorder="1"/>
    <xf numFmtId="0" fontId="0" fillId="0" borderId="0" xfId="0" applyBorder="1" applyAlignment="1">
      <alignment horizontal="center"/>
    </xf>
    <xf numFmtId="41" fontId="16" fillId="0" borderId="4" xfId="0" applyNumberFormat="1" applyFont="1" applyBorder="1" applyAlignment="1">
      <alignment horizontal="center"/>
    </xf>
    <xf numFmtId="0" fontId="0" fillId="3" borderId="6" xfId="0" applyFill="1" applyBorder="1"/>
    <xf numFmtId="165" fontId="0" fillId="3" borderId="5" xfId="1" applyNumberFormat="1" applyFont="1" applyFill="1" applyBorder="1"/>
    <xf numFmtId="41" fontId="13" fillId="0" borderId="0" xfId="0" applyNumberFormat="1" applyFont="1" applyFill="1" applyBorder="1" applyProtection="1">
      <protection locked="0"/>
    </xf>
    <xf numFmtId="10" fontId="13" fillId="0" borderId="0" xfId="2" applyNumberFormat="1" applyFont="1" applyFill="1" applyBorder="1"/>
    <xf numFmtId="14" fontId="0" fillId="6" borderId="0" xfId="0" applyNumberFormat="1" applyFill="1"/>
    <xf numFmtId="0" fontId="0" fillId="6" borderId="0" xfId="0" applyFill="1"/>
    <xf numFmtId="165" fontId="0" fillId="6" borderId="0" xfId="1" applyNumberFormat="1" applyFont="1" applyFill="1"/>
    <xf numFmtId="0" fontId="10" fillId="6" borderId="4" xfId="0" applyFont="1" applyFill="1" applyBorder="1" applyAlignment="1">
      <alignment horizontal="center"/>
    </xf>
    <xf numFmtId="43" fontId="0" fillId="0" borderId="0" xfId="0" applyNumberFormat="1"/>
    <xf numFmtId="43" fontId="0" fillId="3" borderId="6" xfId="1" applyFont="1" applyFill="1" applyBorder="1"/>
    <xf numFmtId="43" fontId="0" fillId="0" borderId="4" xfId="1" applyFont="1" applyBorder="1"/>
    <xf numFmtId="43" fontId="0" fillId="3" borderId="5" xfId="1" applyFont="1" applyFill="1" applyBorder="1"/>
    <xf numFmtId="0" fontId="0" fillId="0" borderId="4" xfId="0" applyFill="1" applyBorder="1"/>
    <xf numFmtId="172" fontId="0" fillId="0" borderId="0" xfId="1" applyNumberFormat="1" applyFont="1"/>
    <xf numFmtId="165" fontId="6" fillId="3" borderId="8" xfId="1" applyNumberFormat="1" applyFont="1" applyFill="1" applyBorder="1" applyAlignment="1" applyProtection="1">
      <alignment horizontal="center"/>
      <protection locked="0"/>
    </xf>
    <xf numFmtId="165" fontId="0" fillId="0" borderId="9" xfId="1" applyNumberFormat="1" applyFont="1" applyBorder="1"/>
    <xf numFmtId="165" fontId="0" fillId="3" borderId="4" xfId="1" applyNumberFormat="1" applyFont="1" applyFill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165" fontId="0" fillId="3" borderId="6" xfId="0" applyNumberFormat="1" applyFill="1" applyBorder="1"/>
    <xf numFmtId="0" fontId="3" fillId="6" borderId="0" xfId="0" quotePrefix="1" applyFont="1" applyFill="1" applyAlignment="1" applyProtection="1">
      <alignment horizontal="left"/>
    </xf>
    <xf numFmtId="0" fontId="3" fillId="6" borderId="0" xfId="0" applyFont="1" applyFill="1" applyProtection="1"/>
    <xf numFmtId="164" fontId="3" fillId="6" borderId="0" xfId="0" quotePrefix="1" applyNumberFormat="1" applyFont="1" applyFill="1" applyAlignment="1">
      <alignment horizontal="center"/>
    </xf>
    <xf numFmtId="164" fontId="3" fillId="0" borderId="5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7" fillId="0" borderId="0" xfId="0" applyFont="1"/>
    <xf numFmtId="0" fontId="17" fillId="0" borderId="0" xfId="0" quotePrefix="1" applyFont="1" applyAlignment="1">
      <alignment horizontal="left"/>
    </xf>
    <xf numFmtId="0" fontId="18" fillId="0" borderId="0" xfId="0" applyFont="1" applyAlignment="1" applyProtection="1">
      <alignment horizontal="center"/>
    </xf>
    <xf numFmtId="0" fontId="18" fillId="0" borderId="0" xfId="0" quotePrefix="1" applyFont="1" applyAlignment="1" applyProtection="1">
      <alignment horizontal="center"/>
    </xf>
    <xf numFmtId="41" fontId="0" fillId="0" borderId="4" xfId="0" applyNumberFormat="1" applyFill="1" applyBorder="1"/>
    <xf numFmtId="164" fontId="18" fillId="0" borderId="0" xfId="0" applyNumberFormat="1" applyFont="1" applyAlignment="1">
      <alignment horizontal="left"/>
    </xf>
    <xf numFmtId="0" fontId="18" fillId="0" borderId="0" xfId="0" applyFont="1"/>
    <xf numFmtId="0" fontId="18" fillId="0" borderId="0" xfId="0" quotePrefix="1" applyFont="1" applyAlignment="1">
      <alignment horizontal="left"/>
    </xf>
    <xf numFmtId="10" fontId="3" fillId="0" borderId="0" xfId="0" applyNumberFormat="1" applyFont="1" applyFill="1"/>
    <xf numFmtId="0" fontId="10" fillId="0" borderId="8" xfId="0" quotePrefix="1" applyFont="1" applyBorder="1" applyAlignment="1">
      <alignment horizontal="center"/>
    </xf>
    <xf numFmtId="169" fontId="0" fillId="0" borderId="0" xfId="0" applyNumberFormat="1"/>
    <xf numFmtId="0" fontId="0" fillId="0" borderId="8" xfId="0" applyFill="1" applyBorder="1"/>
    <xf numFmtId="41" fontId="0" fillId="0" borderId="11" xfId="0" applyNumberFormat="1" applyFill="1" applyBorder="1"/>
    <xf numFmtId="0" fontId="0" fillId="0" borderId="7" xfId="0" applyFill="1" applyBorder="1"/>
    <xf numFmtId="0" fontId="19" fillId="0" borderId="4" xfId="0" applyFont="1" applyFill="1" applyBorder="1"/>
    <xf numFmtId="169" fontId="0" fillId="3" borderId="6" xfId="2" applyNumberFormat="1" applyFont="1" applyFill="1" applyBorder="1" applyProtection="1">
      <protection locked="0"/>
    </xf>
    <xf numFmtId="169" fontId="0" fillId="3" borderId="5" xfId="2" applyNumberFormat="1" applyFont="1" applyFill="1" applyBorder="1" applyProtection="1">
      <protection locked="0"/>
    </xf>
    <xf numFmtId="164" fontId="3" fillId="3" borderId="0" xfId="0" quotePrefix="1" applyNumberFormat="1" applyFont="1" applyFill="1" applyAlignment="1">
      <alignment horizontal="center"/>
    </xf>
    <xf numFmtId="164" fontId="3" fillId="0" borderId="0" xfId="0" quotePrefix="1" applyNumberFormat="1" applyFont="1" applyFill="1" applyAlignment="1">
      <alignment horizontal="center"/>
    </xf>
    <xf numFmtId="43" fontId="0" fillId="0" borderId="0" xfId="1" applyFont="1"/>
    <xf numFmtId="10" fontId="3" fillId="3" borderId="0" xfId="0" applyNumberFormat="1" applyFont="1" applyFill="1" applyBorder="1" applyProtection="1">
      <protection locked="0"/>
    </xf>
    <xf numFmtId="167" fontId="3" fillId="3" borderId="0" xfId="1" applyNumberFormat="1" applyFont="1" applyFill="1" applyBorder="1" applyProtection="1">
      <protection locked="0"/>
    </xf>
    <xf numFmtId="167" fontId="3" fillId="3" borderId="0" xfId="0" applyNumberFormat="1" applyFont="1" applyFill="1" applyBorder="1" applyProtection="1">
      <protection locked="0"/>
    </xf>
    <xf numFmtId="10" fontId="2" fillId="0" borderId="0" xfId="2" quotePrefix="1" applyNumberFormat="1" applyFont="1" applyAlignment="1">
      <alignment horizontal="center"/>
    </xf>
    <xf numFmtId="10" fontId="2" fillId="0" borderId="0" xfId="2" quotePrefix="1" applyNumberFormat="1" applyFont="1" applyAlignment="1">
      <alignment horizontal="right"/>
    </xf>
    <xf numFmtId="167" fontId="0" fillId="3" borderId="6" xfId="0" applyNumberFormat="1" applyFill="1" applyBorder="1"/>
    <xf numFmtId="169" fontId="3" fillId="3" borderId="5" xfId="0" applyNumberFormat="1" applyFont="1" applyFill="1" applyBorder="1" applyProtection="1">
      <protection locked="0"/>
    </xf>
    <xf numFmtId="169" fontId="12" fillId="6" borderId="6" xfId="2" applyNumberFormat="1" applyFont="1" applyFill="1" applyBorder="1" applyAlignment="1" applyProtection="1">
      <alignment horizontal="center"/>
      <protection locked="0"/>
    </xf>
    <xf numFmtId="0" fontId="20" fillId="3" borderId="6" xfId="0" applyFont="1" applyFill="1" applyBorder="1" applyAlignment="1" applyProtection="1">
      <alignment horizontal="center"/>
      <protection locked="0"/>
    </xf>
    <xf numFmtId="165" fontId="20" fillId="3" borderId="6" xfId="0" applyNumberFormat="1" applyFont="1" applyFill="1" applyBorder="1" applyAlignment="1" applyProtection="1">
      <alignment horizontal="center"/>
      <protection locked="0"/>
    </xf>
    <xf numFmtId="167" fontId="20" fillId="3" borderId="6" xfId="1" applyNumberFormat="1" applyFont="1" applyFill="1" applyBorder="1" applyAlignment="1" applyProtection="1">
      <alignment horizontal="center"/>
      <protection locked="0"/>
    </xf>
    <xf numFmtId="165" fontId="20" fillId="3" borderId="6" xfId="1" applyNumberFormat="1" applyFont="1" applyFill="1" applyBorder="1" applyAlignment="1" applyProtection="1">
      <alignment horizontal="center"/>
      <protection locked="0"/>
    </xf>
    <xf numFmtId="10" fontId="20" fillId="3" borderId="6" xfId="2" applyNumberFormat="1" applyFont="1" applyFill="1" applyBorder="1" applyAlignment="1" applyProtection="1">
      <alignment horizontal="center"/>
      <protection locked="0"/>
    </xf>
    <xf numFmtId="10" fontId="19" fillId="3" borderId="5" xfId="2" applyNumberFormat="1" applyFont="1" applyFill="1" applyBorder="1" applyAlignment="1" applyProtection="1">
      <alignment horizontal="center"/>
      <protection locked="0"/>
    </xf>
    <xf numFmtId="166" fontId="3" fillId="0" borderId="12" xfId="0" applyNumberFormat="1" applyFont="1" applyBorder="1" applyProtection="1"/>
    <xf numFmtId="166" fontId="3" fillId="0" borderId="12" xfId="0" applyNumberFormat="1" applyFont="1" applyBorder="1" applyAlignment="1" applyProtection="1">
      <alignment horizontal="center"/>
    </xf>
    <xf numFmtId="0" fontId="3" fillId="0" borderId="12" xfId="0" applyFont="1" applyBorder="1" applyProtection="1"/>
    <xf numFmtId="164" fontId="3" fillId="6" borderId="5" xfId="0" quotePrefix="1" applyNumberFormat="1" applyFont="1" applyFill="1" applyBorder="1" applyAlignment="1" applyProtection="1">
      <alignment horizontal="center"/>
    </xf>
    <xf numFmtId="164" fontId="3" fillId="3" borderId="5" xfId="0" quotePrefix="1" applyNumberFormat="1" applyFont="1" applyFill="1" applyBorder="1" applyAlignment="1" applyProtection="1">
      <alignment horizontal="center"/>
    </xf>
    <xf numFmtId="164" fontId="21" fillId="3" borderId="0" xfId="0" quotePrefix="1" applyNumberFormat="1" applyFont="1" applyFill="1" applyBorder="1" applyAlignment="1" applyProtection="1">
      <alignment horizontal="center"/>
      <protection locked="0"/>
    </xf>
    <xf numFmtId="0" fontId="21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9" fontId="3" fillId="3" borderId="0" xfId="0" applyNumberFormat="1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7" xfId="0" applyFont="1" applyBorder="1" applyAlignment="1">
      <alignment horizontal="center"/>
    </xf>
    <xf numFmtId="169" fontId="3" fillId="3" borderId="8" xfId="0" applyNumberFormat="1" applyFont="1" applyFill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9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FC72E2"/>
      <color rgb="FF797A74"/>
      <color rgb="FF336699"/>
      <color rgb="FF666699"/>
      <color rgb="FF66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'[1]Exercise 15 - Ult Loss Select'!$F$43:$F$46</c:f>
              <c:strCache>
                <c:ptCount val="1"/>
                <c:pt idx="0">
                  <c:v>Paid Loss Development Method</c:v>
                </c:pt>
              </c:strCache>
            </c:strRef>
          </c:tx>
          <c:cat>
            <c:numRef>
              <c:f>'[1]Exercise 15 - Ult Loss Select'!$A$47:$A$62</c:f>
              <c:numCache>
                <c:formatCode>General</c:formatCode>
                <c:ptCount val="16"/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numCache>
            </c:numRef>
          </c:cat>
          <c:val>
            <c:numRef>
              <c:f>'[1]Exercise 15 - Ult Loss Select'!$F$47:$F$62</c:f>
              <c:numCache>
                <c:formatCode>General</c:formatCode>
                <c:ptCount val="1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'[1]Exercise 15 - Ult Loss Select'!$G$43:$G$46</c:f>
              <c:strCache>
                <c:ptCount val="1"/>
                <c:pt idx="0">
                  <c:v>Incurred Loss Development Method</c:v>
                </c:pt>
              </c:strCache>
            </c:strRef>
          </c:tx>
          <c:cat>
            <c:numRef>
              <c:f>'[1]Exercise 15 - Ult Loss Select'!$A$47:$A$62</c:f>
              <c:numCache>
                <c:formatCode>General</c:formatCode>
                <c:ptCount val="16"/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numCache>
            </c:numRef>
          </c:cat>
          <c:val>
            <c:numRef>
              <c:f>'[1]Exercise 15 - Ult Loss Select'!$G$47:$G$62</c:f>
              <c:numCache>
                <c:formatCode>General</c:formatCode>
                <c:ptCount val="1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'[1]Exercise 15 - Ult Loss Select'!$H$43:$H$46</c:f>
              <c:strCache>
                <c:ptCount val="1"/>
                <c:pt idx="0">
                  <c:v>Incurred Expected Loss Ratio Method</c:v>
                </c:pt>
              </c:strCache>
            </c:strRef>
          </c:tx>
          <c:cat>
            <c:numRef>
              <c:f>'[1]Exercise 15 - Ult Loss Select'!$A$47:$A$62</c:f>
              <c:numCache>
                <c:formatCode>General</c:formatCode>
                <c:ptCount val="16"/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numCache>
            </c:numRef>
          </c:cat>
          <c:val>
            <c:numRef>
              <c:f>'[1]Exercise 15 - Ult Loss Select'!$H$47:$H$62</c:f>
              <c:numCache>
                <c:formatCode>General</c:formatCode>
                <c:ptCount val="1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'[1]Exercise 15 - Ult Loss Select'!$I$43:$I$46</c:f>
              <c:strCache>
                <c:ptCount val="1"/>
                <c:pt idx="0">
                  <c:v>Paid Bornhuetter Ferguson Method</c:v>
                </c:pt>
              </c:strCache>
            </c:strRef>
          </c:tx>
          <c:cat>
            <c:numRef>
              <c:f>'[1]Exercise 15 - Ult Loss Select'!$A$47:$A$62</c:f>
              <c:numCache>
                <c:formatCode>General</c:formatCode>
                <c:ptCount val="16"/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numCache>
            </c:numRef>
          </c:cat>
          <c:val>
            <c:numRef>
              <c:f>'[1]Exercise 15 - Ult Loss Select'!$I$47:$I$62</c:f>
              <c:numCache>
                <c:formatCode>General</c:formatCode>
                <c:ptCount val="1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'[1]Exercise 15 - Ult Loss Select'!$J$43:$J$46</c:f>
              <c:strCache>
                <c:ptCount val="1"/>
                <c:pt idx="0">
                  <c:v>Incurred Bornhuetter Ferguson Method</c:v>
                </c:pt>
              </c:strCache>
            </c:strRef>
          </c:tx>
          <c:cat>
            <c:numRef>
              <c:f>'[1]Exercise 15 - Ult Loss Select'!$A$47:$A$62</c:f>
              <c:numCache>
                <c:formatCode>General</c:formatCode>
                <c:ptCount val="16"/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numCache>
            </c:numRef>
          </c:cat>
          <c:val>
            <c:numRef>
              <c:f>'[1]Exercise 15 - Ult Loss Select'!$J$47:$J$62</c:f>
              <c:numCache>
                <c:formatCode>General</c:formatCode>
                <c:ptCount val="1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5"/>
          <c:order val="5"/>
          <c:tx>
            <c:strRef>
              <c:f>'[1]Exercise 15 - Ult Loss Select'!$K$43:$K$46</c:f>
              <c:strCache>
                <c:ptCount val="1"/>
                <c:pt idx="0">
                  <c:v>Incurred Average of Methods</c:v>
                </c:pt>
              </c:strCache>
            </c:strRef>
          </c:tx>
          <c:cat>
            <c:numRef>
              <c:f>'[1]Exercise 15 - Ult Loss Select'!$A$47:$A$62</c:f>
              <c:numCache>
                <c:formatCode>General</c:formatCode>
                <c:ptCount val="16"/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numCache>
            </c:numRef>
          </c:cat>
          <c:val>
            <c:numRef>
              <c:f>'[1]Exercise 15 - Ult Loss Select'!$K$47:$K$62</c:f>
              <c:numCache>
                <c:formatCode>General</c:formatCode>
                <c:ptCount val="1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6"/>
          <c:order val="6"/>
          <c:tx>
            <c:strRef>
              <c:f>'[1]Exercise 15 - Ult Loss Select'!$L$43:$L$46</c:f>
              <c:strCache>
                <c:ptCount val="1"/>
                <c:pt idx="0">
                  <c:v>Incurred Ultimate Loss Ratio Selection</c:v>
                </c:pt>
              </c:strCache>
            </c:strRef>
          </c:tx>
          <c:cat>
            <c:numRef>
              <c:f>'[1]Exercise 15 - Ult Loss Select'!$A$47:$A$62</c:f>
              <c:numCache>
                <c:formatCode>General</c:formatCode>
                <c:ptCount val="16"/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numCache>
            </c:numRef>
          </c:cat>
          <c:val>
            <c:numRef>
              <c:f>'[1]Exercise 15 - Ult Loss Select'!$L$47:$L$62</c:f>
              <c:numCache>
                <c:formatCode>General</c:formatCode>
                <c:ptCount val="1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axId val="148211584"/>
        <c:axId val="148213120"/>
      </c:barChart>
      <c:catAx>
        <c:axId val="148211584"/>
        <c:scaling>
          <c:orientation val="minMax"/>
        </c:scaling>
        <c:axPos val="b"/>
        <c:numFmt formatCode="General" sourceLinked="1"/>
        <c:tickLblPos val="nextTo"/>
        <c:crossAx val="148213120"/>
        <c:crosses val="autoZero"/>
        <c:auto val="1"/>
        <c:lblAlgn val="ctr"/>
        <c:lblOffset val="100"/>
      </c:catAx>
      <c:valAx>
        <c:axId val="148213120"/>
        <c:scaling>
          <c:orientation val="minMax"/>
        </c:scaling>
        <c:axPos val="l"/>
        <c:majorGridlines/>
        <c:numFmt formatCode="0.00%" sourceLinked="0"/>
        <c:tickLblPos val="nextTo"/>
        <c:crossAx val="14821158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'Exercise 15 - Ult DCC Select'!$D$40:$D$43</c:f>
              <c:strCache>
                <c:ptCount val="1"/>
                <c:pt idx="0">
                  <c:v>Paid DCC Development Method</c:v>
                </c:pt>
              </c:strCache>
            </c:strRef>
          </c:tx>
          <c:cat>
            <c:numRef>
              <c:f>'[1]Exercise 15 - Ult DCC Select'!$A$47:$A$62</c:f>
              <c:numCache>
                <c:formatCode>General</c:formatCode>
                <c:ptCount val="16"/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numCache>
            </c:numRef>
          </c:cat>
          <c:val>
            <c:numRef>
              <c:f>'Exercise 15 - Ult DCC Select'!$D$45:$D$59</c:f>
              <c:numCache>
                <c:formatCode>0.00%</c:formatCode>
                <c:ptCount val="15"/>
                <c:pt idx="0">
                  <c:v>0.17000130313187781</c:v>
                </c:pt>
                <c:pt idx="1">
                  <c:v>0.25852027570123148</c:v>
                </c:pt>
                <c:pt idx="2">
                  <c:v>0.18883291151946985</c:v>
                </c:pt>
                <c:pt idx="3">
                  <c:v>0.21709627931287609</c:v>
                </c:pt>
                <c:pt idx="4">
                  <c:v>0.20645709848269256</c:v>
                </c:pt>
                <c:pt idx="5">
                  <c:v>0.38310338640715591</c:v>
                </c:pt>
                <c:pt idx="6">
                  <c:v>0.57107461141111659</c:v>
                </c:pt>
                <c:pt idx="7">
                  <c:v>0.4391430314349849</c:v>
                </c:pt>
                <c:pt idx="8">
                  <c:v>0.30693960290339362</c:v>
                </c:pt>
                <c:pt idx="9">
                  <c:v>0.16138330336102</c:v>
                </c:pt>
                <c:pt idx="10">
                  <c:v>0.21479160370418454</c:v>
                </c:pt>
                <c:pt idx="11">
                  <c:v>0.36506093754887581</c:v>
                </c:pt>
                <c:pt idx="12">
                  <c:v>0.5376657054283922</c:v>
                </c:pt>
                <c:pt idx="13">
                  <c:v>0.50411776032176003</c:v>
                </c:pt>
                <c:pt idx="14">
                  <c:v>0.70912332470841333</c:v>
                </c:pt>
              </c:numCache>
            </c:numRef>
          </c:val>
        </c:ser>
        <c:ser>
          <c:idx val="1"/>
          <c:order val="1"/>
          <c:tx>
            <c:strRef>
              <c:f>'Exercise 15 - Ult DCC Select'!$E$40:$E$43</c:f>
              <c:strCache>
                <c:ptCount val="1"/>
                <c:pt idx="0">
                  <c:v>Pd Pd DCC Development Method</c:v>
                </c:pt>
              </c:strCache>
            </c:strRef>
          </c:tx>
          <c:cat>
            <c:numRef>
              <c:f>'[1]Exercise 15 - Ult DCC Select'!$A$47:$A$62</c:f>
              <c:numCache>
                <c:formatCode>General</c:formatCode>
                <c:ptCount val="16"/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numCache>
            </c:numRef>
          </c:cat>
          <c:val>
            <c:numRef>
              <c:f>'Exercise 15 - Ult DCC Select'!$E$45:$E$59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5"/>
          <c:order val="2"/>
          <c:tx>
            <c:strRef>
              <c:f>'Exercise 15 - Ult DCC Select'!$F$41:$F$43</c:f>
              <c:strCache>
                <c:ptCount val="1"/>
                <c:pt idx="0">
                  <c:v>Average of Methods</c:v>
                </c:pt>
              </c:strCache>
            </c:strRef>
          </c:tx>
          <c:cat>
            <c:numRef>
              <c:f>'[1]Exercise 15 - Ult DCC Select'!$A$47:$A$62</c:f>
              <c:numCache>
                <c:formatCode>General</c:formatCode>
                <c:ptCount val="16"/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numCache>
            </c:numRef>
          </c:cat>
          <c:val>
            <c:numRef>
              <c:f>'Exercise 15 - Ult DCC Select'!$F$45:$F$59</c:f>
              <c:numCache>
                <c:formatCode>0.00%</c:formatCode>
                <c:ptCount val="15"/>
                <c:pt idx="0">
                  <c:v>8.5000651565938903E-2</c:v>
                </c:pt>
                <c:pt idx="1">
                  <c:v>0.12926013785061574</c:v>
                </c:pt>
                <c:pt idx="2">
                  <c:v>9.4416455759734924E-2</c:v>
                </c:pt>
                <c:pt idx="3">
                  <c:v>0.10854813965643804</c:v>
                </c:pt>
                <c:pt idx="4">
                  <c:v>0.10322854924134628</c:v>
                </c:pt>
                <c:pt idx="5">
                  <c:v>0.19155169320357796</c:v>
                </c:pt>
                <c:pt idx="6">
                  <c:v>0.2855373057055583</c:v>
                </c:pt>
                <c:pt idx="7">
                  <c:v>0.21957151571749245</c:v>
                </c:pt>
                <c:pt idx="8">
                  <c:v>0.15346980145169681</c:v>
                </c:pt>
                <c:pt idx="9">
                  <c:v>8.0691651680509999E-2</c:v>
                </c:pt>
                <c:pt idx="10">
                  <c:v>0.10739580185209227</c:v>
                </c:pt>
                <c:pt idx="11">
                  <c:v>0.1825304687744379</c:v>
                </c:pt>
                <c:pt idx="12">
                  <c:v>0.2688328527141961</c:v>
                </c:pt>
                <c:pt idx="13">
                  <c:v>0.25205888016088002</c:v>
                </c:pt>
                <c:pt idx="14">
                  <c:v>0.35456166235420666</c:v>
                </c:pt>
              </c:numCache>
            </c:numRef>
          </c:val>
        </c:ser>
        <c:ser>
          <c:idx val="2"/>
          <c:order val="3"/>
          <c:tx>
            <c:strRef>
              <c:f>'Exercise 15 - Ult DCC Select'!$G$41:$G$43</c:f>
              <c:strCache>
                <c:ptCount val="1"/>
                <c:pt idx="0">
                  <c:v>Ultimate DCC Ratio Selection</c:v>
                </c:pt>
              </c:strCache>
            </c:strRef>
          </c:tx>
          <c:val>
            <c:numRef>
              <c:f>'Exercise 15 - Ult DCC Select'!$G$45:$G$59</c:f>
              <c:numCache>
                <c:formatCode>0.00%</c:formatCode>
                <c:ptCount val="15"/>
                <c:pt idx="0">
                  <c:v>8.5000651565938903E-2</c:v>
                </c:pt>
                <c:pt idx="1">
                  <c:v>0.12926013785061574</c:v>
                </c:pt>
                <c:pt idx="2">
                  <c:v>9.4416455759734924E-2</c:v>
                </c:pt>
                <c:pt idx="3">
                  <c:v>0.10854813965643804</c:v>
                </c:pt>
                <c:pt idx="4">
                  <c:v>0.10322854924134628</c:v>
                </c:pt>
                <c:pt idx="5">
                  <c:v>0.19155169320357796</c:v>
                </c:pt>
                <c:pt idx="6">
                  <c:v>0.2855373057055583</c:v>
                </c:pt>
                <c:pt idx="7">
                  <c:v>0.21957151571749245</c:v>
                </c:pt>
                <c:pt idx="8">
                  <c:v>0.15346980145169681</c:v>
                </c:pt>
                <c:pt idx="9">
                  <c:v>8.0691651680509999E-2</c:v>
                </c:pt>
                <c:pt idx="10">
                  <c:v>0.10739580185209227</c:v>
                </c:pt>
                <c:pt idx="11">
                  <c:v>0.1825304687744379</c:v>
                </c:pt>
                <c:pt idx="12">
                  <c:v>0.2688328527141961</c:v>
                </c:pt>
                <c:pt idx="13">
                  <c:v>0.25205888016088002</c:v>
                </c:pt>
                <c:pt idx="14">
                  <c:v>0.35456166235420666</c:v>
                </c:pt>
              </c:numCache>
            </c:numRef>
          </c:val>
        </c:ser>
        <c:axId val="148350464"/>
        <c:axId val="148352000"/>
      </c:barChart>
      <c:catAx>
        <c:axId val="148350464"/>
        <c:scaling>
          <c:orientation val="minMax"/>
        </c:scaling>
        <c:axPos val="b"/>
        <c:numFmt formatCode="General" sourceLinked="1"/>
        <c:tickLblPos val="nextTo"/>
        <c:crossAx val="148352000"/>
        <c:crosses val="autoZero"/>
        <c:auto val="1"/>
        <c:lblAlgn val="ctr"/>
        <c:lblOffset val="100"/>
      </c:catAx>
      <c:valAx>
        <c:axId val="148352000"/>
        <c:scaling>
          <c:orientation val="minMax"/>
        </c:scaling>
        <c:axPos val="l"/>
        <c:majorGridlines/>
        <c:numFmt formatCode="0.00%" sourceLinked="0"/>
        <c:tickLblPos val="nextTo"/>
        <c:crossAx val="14835046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476250</xdr:colOff>
      <xdr:row>6</xdr:row>
      <xdr:rowOff>0</xdr:rowOff>
    </xdr:from>
    <xdr:to>
      <xdr:col>28</xdr:col>
      <xdr:colOff>142875</xdr:colOff>
      <xdr:row>55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6</xdr:row>
      <xdr:rowOff>0</xdr:rowOff>
    </xdr:from>
    <xdr:to>
      <xdr:col>22</xdr:col>
      <xdr:colOff>142875</xdr:colOff>
      <xdr:row>55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ability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Exercise 6 - Paid-Ldfs"/>
      <sheetName val="Exercise 6 - Inc-Ldfs"/>
      <sheetName val="Exercise 6 - DCC Paid-Ldfs"/>
      <sheetName val="Exercise 6 - Rept Claim Ldfs"/>
      <sheetName val="Exercise 6 - Closed Claim Ldfs"/>
      <sheetName val="Exercise 7&amp;8 - Paid Dev Meth"/>
      <sheetName val="Exercise 7&amp;8 - Inc Dev Meth"/>
      <sheetName val="Paid DCC Dev"/>
      <sheetName val="Rpt Claim Dev"/>
      <sheetName val="Closed Claim Dev"/>
      <sheetName val="Exercise 10 - Expected LR Meth"/>
      <sheetName val="Exercise 11 - Paid BF Method"/>
      <sheetName val="Exercise 11 - Inc BF Method"/>
      <sheetName val="Exercise 12 - Pd to PD factors"/>
      <sheetName val="Exercise 12 - DCC Pd Pd-Ldfs "/>
      <sheetName val="Exercise 13 - Pd to Pd Dev"/>
      <sheetName val="Exercise 14 - Diagnostics 1"/>
      <sheetName val="Exercise 14 - Diagnostics 2"/>
      <sheetName val="Exercise 14 - Diagonstics 3"/>
      <sheetName val="Exercise 15 - Ult Loss Select"/>
      <sheetName val="Exercise 15 - Ult DCC Select"/>
      <sheetName val="Exercise 16 - Summary"/>
      <sheetName val="Exercise 16 - Metrics"/>
    </sheetNames>
    <sheetDataSet>
      <sheetData sheetId="0" refreshError="1"/>
      <sheetData sheetId="1" refreshError="1">
        <row r="10">
          <cell r="A10" t="str">
            <v>Accident</v>
          </cell>
        </row>
        <row r="13">
          <cell r="B13">
            <v>341628.08666666667</v>
          </cell>
          <cell r="C13">
            <v>1034837.0066666667</v>
          </cell>
          <cell r="D13">
            <v>1898517.33</v>
          </cell>
          <cell r="E13">
            <v>2466774.65</v>
          </cell>
          <cell r="F13">
            <v>2991936.8266666667</v>
          </cell>
          <cell r="G13">
            <v>3152844.0233333334</v>
          </cell>
          <cell r="H13">
            <v>3241242.6666666665</v>
          </cell>
          <cell r="I13">
            <v>3278555.3333333335</v>
          </cell>
          <cell r="J13">
            <v>3335054</v>
          </cell>
          <cell r="K13">
            <v>3388571.6666666665</v>
          </cell>
          <cell r="L13">
            <v>3792652.3333333335</v>
          </cell>
          <cell r="M13">
            <v>4006045.4066666663</v>
          </cell>
          <cell r="N13">
            <v>4026075.6336999992</v>
          </cell>
          <cell r="O13">
            <v>4066336.3900369992</v>
          </cell>
          <cell r="P13">
            <v>4066336.3900369992</v>
          </cell>
        </row>
        <row r="14">
          <cell r="B14">
            <v>283763.23000000004</v>
          </cell>
          <cell r="C14">
            <v>1117576.8500000001</v>
          </cell>
          <cell r="D14">
            <v>2132066.98</v>
          </cell>
          <cell r="E14">
            <v>2570624</v>
          </cell>
          <cell r="F14">
            <v>2641818</v>
          </cell>
          <cell r="G14">
            <v>2728291</v>
          </cell>
          <cell r="H14">
            <v>2752957</v>
          </cell>
          <cell r="I14">
            <v>2785455</v>
          </cell>
          <cell r="J14">
            <v>2804471</v>
          </cell>
          <cell r="K14">
            <v>2808770</v>
          </cell>
          <cell r="L14">
            <v>2835273</v>
          </cell>
          <cell r="M14">
            <v>2886516</v>
          </cell>
          <cell r="N14">
            <v>3289147</v>
          </cell>
          <cell r="O14">
            <v>3271028.46</v>
          </cell>
        </row>
        <row r="15">
          <cell r="B15">
            <v>391721.33</v>
          </cell>
          <cell r="C15">
            <v>1101914.19</v>
          </cell>
          <cell r="D15">
            <v>2347778</v>
          </cell>
          <cell r="E15">
            <v>2952878</v>
          </cell>
          <cell r="F15">
            <v>3774844</v>
          </cell>
          <cell r="G15">
            <v>3845423</v>
          </cell>
          <cell r="H15">
            <v>3865494</v>
          </cell>
          <cell r="I15">
            <v>3865843</v>
          </cell>
          <cell r="J15">
            <v>3865843</v>
          </cell>
          <cell r="K15">
            <v>3866000</v>
          </cell>
          <cell r="L15">
            <v>3935115</v>
          </cell>
          <cell r="M15">
            <v>4574883</v>
          </cell>
          <cell r="N15">
            <v>4586913</v>
          </cell>
        </row>
        <row r="16">
          <cell r="B16">
            <v>349399.7</v>
          </cell>
          <cell r="C16">
            <v>885019.98</v>
          </cell>
          <cell r="D16">
            <v>1215707.01</v>
          </cell>
          <cell r="E16">
            <v>1876821.9500000002</v>
          </cell>
          <cell r="F16">
            <v>2559148.48</v>
          </cell>
          <cell r="G16">
            <v>2884818.0700000003</v>
          </cell>
          <cell r="H16">
            <v>3105277</v>
          </cell>
          <cell r="I16">
            <v>3184368</v>
          </cell>
          <cell r="J16">
            <v>3334848</v>
          </cell>
          <cell r="K16">
            <v>3490945</v>
          </cell>
          <cell r="L16">
            <v>4607569</v>
          </cell>
          <cell r="M16">
            <v>4556737.22</v>
          </cell>
        </row>
        <row r="17">
          <cell r="B17">
            <v>367060.18</v>
          </cell>
          <cell r="C17">
            <v>650671.76</v>
          </cell>
          <cell r="D17">
            <v>1463556.4</v>
          </cell>
          <cell r="E17">
            <v>2459692.5299999998</v>
          </cell>
          <cell r="F17">
            <v>2861391.53</v>
          </cell>
          <cell r="G17">
            <v>3302088</v>
          </cell>
          <cell r="H17">
            <v>3455868</v>
          </cell>
          <cell r="I17">
            <v>3605837</v>
          </cell>
          <cell r="J17">
            <v>3848064</v>
          </cell>
          <cell r="K17">
            <v>3934578</v>
          </cell>
          <cell r="L17">
            <v>4357830.49</v>
          </cell>
        </row>
        <row r="18">
          <cell r="B18">
            <v>327138.93000000005</v>
          </cell>
          <cell r="C18">
            <v>667825.80000000005</v>
          </cell>
          <cell r="D18">
            <v>1221064.24</v>
          </cell>
          <cell r="E18">
            <v>1697077.74</v>
          </cell>
          <cell r="F18">
            <v>2239890</v>
          </cell>
          <cell r="G18">
            <v>2468219</v>
          </cell>
          <cell r="H18">
            <v>2574439</v>
          </cell>
          <cell r="I18">
            <v>2819279</v>
          </cell>
          <cell r="J18">
            <v>3233905</v>
          </cell>
          <cell r="K18">
            <v>3174352.51</v>
          </cell>
        </row>
        <row r="19">
          <cell r="B19">
            <v>303592.51</v>
          </cell>
          <cell r="C19">
            <v>704761.55999999994</v>
          </cell>
          <cell r="D19">
            <v>1193811.97</v>
          </cell>
          <cell r="E19">
            <v>1517649</v>
          </cell>
          <cell r="F19">
            <v>1631896</v>
          </cell>
          <cell r="G19">
            <v>1735293</v>
          </cell>
          <cell r="H19">
            <v>1904538</v>
          </cell>
          <cell r="I19">
            <v>2243619</v>
          </cell>
          <cell r="J19">
            <v>2329891</v>
          </cell>
        </row>
        <row r="20">
          <cell r="B20">
            <v>501759.82999999996</v>
          </cell>
          <cell r="C20">
            <v>1005936.53</v>
          </cell>
          <cell r="D20">
            <v>1340913</v>
          </cell>
          <cell r="E20">
            <v>1545589</v>
          </cell>
          <cell r="F20">
            <v>2213662</v>
          </cell>
          <cell r="G20">
            <v>2370115</v>
          </cell>
          <cell r="H20">
            <v>2452890</v>
          </cell>
          <cell r="I20">
            <v>2463991.9700000002</v>
          </cell>
        </row>
        <row r="21">
          <cell r="B21">
            <v>301144.82999999996</v>
          </cell>
          <cell r="C21">
            <v>658664</v>
          </cell>
          <cell r="D21">
            <v>1212189</v>
          </cell>
          <cell r="E21">
            <v>2430778</v>
          </cell>
          <cell r="F21">
            <v>2881963</v>
          </cell>
          <cell r="G21">
            <v>3049911</v>
          </cell>
          <cell r="H21">
            <v>3156139.46</v>
          </cell>
        </row>
        <row r="22">
          <cell r="B22">
            <v>266685</v>
          </cell>
          <cell r="C22">
            <v>1109352</v>
          </cell>
          <cell r="D22">
            <v>1959118</v>
          </cell>
          <cell r="E22">
            <v>3213095</v>
          </cell>
          <cell r="F22">
            <v>6149641</v>
          </cell>
          <cell r="G22">
            <v>6907218</v>
          </cell>
        </row>
        <row r="23">
          <cell r="B23">
            <v>912098</v>
          </cell>
          <cell r="C23">
            <v>1686868</v>
          </cell>
          <cell r="D23">
            <v>1917266</v>
          </cell>
          <cell r="E23">
            <v>2745786</v>
          </cell>
          <cell r="F23">
            <v>4132680</v>
          </cell>
        </row>
        <row r="24">
          <cell r="B24">
            <v>338919</v>
          </cell>
          <cell r="C24">
            <v>901700</v>
          </cell>
          <cell r="D24">
            <v>1345545</v>
          </cell>
          <cell r="E24">
            <v>1766812.92</v>
          </cell>
        </row>
        <row r="25">
          <cell r="B25">
            <v>338929</v>
          </cell>
          <cell r="C25">
            <v>801962</v>
          </cell>
          <cell r="D25">
            <v>1655619</v>
          </cell>
        </row>
        <row r="26">
          <cell r="B26">
            <v>345581</v>
          </cell>
          <cell r="C26">
            <v>629188</v>
          </cell>
        </row>
        <row r="27">
          <cell r="B27">
            <v>383397</v>
          </cell>
        </row>
      </sheetData>
      <sheetData sheetId="2" refreshError="1">
        <row r="13">
          <cell r="B13">
            <v>2176508.0866666669</v>
          </cell>
          <cell r="C13">
            <v>3182043.0066666673</v>
          </cell>
          <cell r="D13">
            <v>3363500.9966666666</v>
          </cell>
          <cell r="E13">
            <v>3407157.9833333339</v>
          </cell>
          <cell r="F13">
            <v>3555411.4933333336</v>
          </cell>
          <cell r="G13">
            <v>3479625.69</v>
          </cell>
          <cell r="H13">
            <v>3440313.3333333335</v>
          </cell>
          <cell r="I13">
            <v>3422032.6666666665</v>
          </cell>
          <cell r="J13">
            <v>3486001.6666666665</v>
          </cell>
          <cell r="K13">
            <v>3853777.3333333335</v>
          </cell>
          <cell r="L13">
            <v>4100846</v>
          </cell>
          <cell r="M13">
            <v>4172111</v>
          </cell>
          <cell r="N13">
            <v>4192971.5549999997</v>
          </cell>
          <cell r="O13">
            <v>4230708.2989949994</v>
          </cell>
          <cell r="P13">
            <v>4230708.2989949994</v>
          </cell>
        </row>
        <row r="14">
          <cell r="B14">
            <v>1789591.23</v>
          </cell>
          <cell r="C14">
            <v>2969424.85</v>
          </cell>
          <cell r="D14">
            <v>3184273.9800000004</v>
          </cell>
          <cell r="E14">
            <v>3011119.0000000005</v>
          </cell>
          <cell r="F14">
            <v>3003970.0000000005</v>
          </cell>
          <cell r="G14">
            <v>2910211.0000000005</v>
          </cell>
          <cell r="H14">
            <v>2920236.0000000005</v>
          </cell>
          <cell r="I14">
            <v>2966571.0000000005</v>
          </cell>
          <cell r="J14">
            <v>2980922.0000000005</v>
          </cell>
          <cell r="K14">
            <v>3004485.0000000005</v>
          </cell>
          <cell r="L14">
            <v>3075350.0000000005</v>
          </cell>
          <cell r="M14">
            <v>3294350.0000000005</v>
          </cell>
          <cell r="N14">
            <v>3318341.0000000005</v>
          </cell>
          <cell r="O14">
            <v>3320551.0000000005</v>
          </cell>
        </row>
        <row r="15">
          <cell r="B15">
            <v>3387111.33</v>
          </cell>
          <cell r="C15">
            <v>4381761.1900000004</v>
          </cell>
          <cell r="D15">
            <v>4092346.0000000005</v>
          </cell>
          <cell r="E15">
            <v>4010671.0000000005</v>
          </cell>
          <cell r="F15">
            <v>4077925.0000000005</v>
          </cell>
          <cell r="G15">
            <v>3965357.0000000005</v>
          </cell>
          <cell r="H15">
            <v>3941150.0000000005</v>
          </cell>
          <cell r="I15">
            <v>3907991.0000000005</v>
          </cell>
          <cell r="J15">
            <v>3907991.0000000005</v>
          </cell>
          <cell r="K15">
            <v>4107991.0000000005</v>
          </cell>
          <cell r="L15">
            <v>4597344</v>
          </cell>
          <cell r="M15">
            <v>4592139</v>
          </cell>
          <cell r="N15">
            <v>4622140</v>
          </cell>
        </row>
        <row r="16">
          <cell r="B16">
            <v>1352821.7</v>
          </cell>
          <cell r="C16">
            <v>2194942.98</v>
          </cell>
          <cell r="D16">
            <v>2813883.01</v>
          </cell>
          <cell r="E16">
            <v>3199683.9499999997</v>
          </cell>
          <cell r="F16">
            <v>3584339.4799999995</v>
          </cell>
          <cell r="G16">
            <v>3563309.0699999994</v>
          </cell>
          <cell r="H16">
            <v>3459553.9999999991</v>
          </cell>
          <cell r="I16">
            <v>3391535.9999999991</v>
          </cell>
          <cell r="J16">
            <v>3569091.9999999991</v>
          </cell>
          <cell r="K16">
            <v>4448855.9999999991</v>
          </cell>
          <cell r="L16">
            <v>4629843.9999999991</v>
          </cell>
          <cell r="M16">
            <v>4629843.9999999991</v>
          </cell>
        </row>
        <row r="17">
          <cell r="B17">
            <v>1950490.1799999997</v>
          </cell>
          <cell r="C17">
            <v>2862130.76</v>
          </cell>
          <cell r="D17">
            <v>3711344.4</v>
          </cell>
          <cell r="E17">
            <v>4603535.53</v>
          </cell>
          <cell r="F17">
            <v>4127352.5300000003</v>
          </cell>
          <cell r="G17">
            <v>4580480</v>
          </cell>
          <cell r="H17">
            <v>4561028</v>
          </cell>
          <cell r="I17">
            <v>4313668</v>
          </cell>
          <cell r="J17">
            <v>4297494</v>
          </cell>
          <cell r="K17">
            <v>4500360</v>
          </cell>
          <cell r="L17">
            <v>4721272</v>
          </cell>
        </row>
        <row r="18">
          <cell r="B18">
            <v>955991.93</v>
          </cell>
          <cell r="C18">
            <v>1638241.8</v>
          </cell>
          <cell r="D18">
            <v>2152948.2400000002</v>
          </cell>
          <cell r="E18">
            <v>2405814.7400000002</v>
          </cell>
          <cell r="F18">
            <v>2505187</v>
          </cell>
          <cell r="G18">
            <v>2535108</v>
          </cell>
          <cell r="H18">
            <v>2943917</v>
          </cell>
          <cell r="I18">
            <v>3388075</v>
          </cell>
          <cell r="J18">
            <v>3297603</v>
          </cell>
          <cell r="K18">
            <v>3244357</v>
          </cell>
        </row>
        <row r="19">
          <cell r="B19">
            <v>1351388.51</v>
          </cell>
          <cell r="C19">
            <v>2162378.56</v>
          </cell>
          <cell r="D19">
            <v>2284658.9699999997</v>
          </cell>
          <cell r="E19">
            <v>1890704.9999999998</v>
          </cell>
          <cell r="F19">
            <v>1963560.9999999998</v>
          </cell>
          <cell r="G19">
            <v>2427073</v>
          </cell>
          <cell r="H19">
            <v>2593348</v>
          </cell>
          <cell r="I19">
            <v>2243619</v>
          </cell>
          <cell r="J19">
            <v>2329891</v>
          </cell>
        </row>
        <row r="20">
          <cell r="B20">
            <v>1404553.83</v>
          </cell>
          <cell r="C20">
            <v>1983267.53</v>
          </cell>
          <cell r="D20">
            <v>1968187</v>
          </cell>
          <cell r="E20">
            <v>2542655</v>
          </cell>
          <cell r="F20">
            <v>2594652</v>
          </cell>
          <cell r="G20">
            <v>2629274</v>
          </cell>
          <cell r="H20">
            <v>2602566</v>
          </cell>
          <cell r="I20">
            <v>2674745</v>
          </cell>
        </row>
        <row r="21">
          <cell r="B21">
            <v>1430915.83</v>
          </cell>
          <cell r="C21">
            <v>1672762</v>
          </cell>
          <cell r="D21">
            <v>2857354</v>
          </cell>
          <cell r="E21">
            <v>3159009</v>
          </cell>
          <cell r="F21">
            <v>3412368</v>
          </cell>
          <cell r="G21">
            <v>3523261</v>
          </cell>
          <cell r="H21">
            <v>3631863</v>
          </cell>
        </row>
        <row r="22">
          <cell r="B22">
            <v>1769464</v>
          </cell>
          <cell r="C22">
            <v>2565537</v>
          </cell>
          <cell r="D22">
            <v>4448961</v>
          </cell>
          <cell r="E22">
            <v>6686897</v>
          </cell>
          <cell r="F22">
            <v>7420618</v>
          </cell>
          <cell r="G22">
            <v>7442768</v>
          </cell>
        </row>
        <row r="23">
          <cell r="B23">
            <v>2241702</v>
          </cell>
          <cell r="C23">
            <v>2840701</v>
          </cell>
          <cell r="D23">
            <v>3796944</v>
          </cell>
          <cell r="E23">
            <v>4302900</v>
          </cell>
          <cell r="F23">
            <v>5448294</v>
          </cell>
        </row>
        <row r="24">
          <cell r="B24">
            <v>1059264</v>
          </cell>
          <cell r="C24">
            <v>1861035</v>
          </cell>
          <cell r="D24">
            <v>2421578</v>
          </cell>
          <cell r="E24">
            <v>2911031</v>
          </cell>
        </row>
        <row r="25">
          <cell r="B25">
            <v>1304453</v>
          </cell>
          <cell r="C25">
            <v>2600406</v>
          </cell>
          <cell r="D25">
            <v>3045525</v>
          </cell>
        </row>
        <row r="26">
          <cell r="B26">
            <v>1667175</v>
          </cell>
          <cell r="C26">
            <v>2397947</v>
          </cell>
        </row>
        <row r="27">
          <cell r="B27">
            <v>2365070</v>
          </cell>
        </row>
      </sheetData>
      <sheetData sheetId="3" refreshError="1">
        <row r="10">
          <cell r="A10" t="str">
            <v>Accident</v>
          </cell>
        </row>
      </sheetData>
      <sheetData sheetId="4" refreshError="1">
        <row r="13">
          <cell r="B13">
            <v>394.5</v>
          </cell>
          <cell r="C13">
            <v>496</v>
          </cell>
          <cell r="D13">
            <v>512.5</v>
          </cell>
          <cell r="E13">
            <v>515.5</v>
          </cell>
          <cell r="F13">
            <v>519</v>
          </cell>
          <cell r="G13">
            <v>519.5</v>
          </cell>
          <cell r="H13">
            <v>519.5</v>
          </cell>
          <cell r="I13">
            <v>520</v>
          </cell>
          <cell r="J13">
            <v>521</v>
          </cell>
          <cell r="K13">
            <v>522</v>
          </cell>
          <cell r="L13">
            <v>522</v>
          </cell>
          <cell r="M13">
            <v>522</v>
          </cell>
          <cell r="N13">
            <v>522</v>
          </cell>
          <cell r="O13">
            <v>522</v>
          </cell>
          <cell r="P13">
            <v>522</v>
          </cell>
        </row>
        <row r="14">
          <cell r="B14">
            <v>414</v>
          </cell>
          <cell r="C14">
            <v>490</v>
          </cell>
          <cell r="D14">
            <v>509</v>
          </cell>
          <cell r="E14">
            <v>519</v>
          </cell>
          <cell r="F14">
            <v>525</v>
          </cell>
          <cell r="G14">
            <v>525</v>
          </cell>
          <cell r="H14">
            <v>525</v>
          </cell>
          <cell r="I14">
            <v>526</v>
          </cell>
          <cell r="J14">
            <v>526</v>
          </cell>
          <cell r="K14">
            <v>526</v>
          </cell>
          <cell r="L14">
            <v>527</v>
          </cell>
          <cell r="M14">
            <v>527</v>
          </cell>
          <cell r="N14">
            <v>528</v>
          </cell>
          <cell r="O14">
            <v>528</v>
          </cell>
        </row>
        <row r="15">
          <cell r="B15">
            <v>386</v>
          </cell>
          <cell r="C15">
            <v>482</v>
          </cell>
          <cell r="D15">
            <v>506</v>
          </cell>
          <cell r="E15">
            <v>510</v>
          </cell>
          <cell r="F15">
            <v>512</v>
          </cell>
          <cell r="G15">
            <v>513</v>
          </cell>
          <cell r="H15">
            <v>513</v>
          </cell>
          <cell r="I15">
            <v>513</v>
          </cell>
          <cell r="J15">
            <v>513</v>
          </cell>
          <cell r="K15">
            <v>514</v>
          </cell>
          <cell r="L15">
            <v>514</v>
          </cell>
          <cell r="M15">
            <v>514</v>
          </cell>
          <cell r="N15">
            <v>514</v>
          </cell>
        </row>
        <row r="16">
          <cell r="B16">
            <v>403</v>
          </cell>
          <cell r="C16">
            <v>510</v>
          </cell>
          <cell r="D16">
            <v>519</v>
          </cell>
          <cell r="E16">
            <v>521</v>
          </cell>
          <cell r="F16">
            <v>526</v>
          </cell>
          <cell r="G16">
            <v>526</v>
          </cell>
          <cell r="H16">
            <v>526</v>
          </cell>
          <cell r="I16">
            <v>527</v>
          </cell>
          <cell r="J16">
            <v>529</v>
          </cell>
          <cell r="K16">
            <v>530</v>
          </cell>
          <cell r="L16">
            <v>530</v>
          </cell>
          <cell r="M16">
            <v>530</v>
          </cell>
        </row>
        <row r="17">
          <cell r="B17">
            <v>474</v>
          </cell>
          <cell r="C17">
            <v>535</v>
          </cell>
          <cell r="D17">
            <v>553</v>
          </cell>
          <cell r="E17">
            <v>557</v>
          </cell>
          <cell r="F17">
            <v>560</v>
          </cell>
          <cell r="G17">
            <v>560</v>
          </cell>
          <cell r="H17">
            <v>560</v>
          </cell>
          <cell r="I17">
            <v>561</v>
          </cell>
          <cell r="J17">
            <v>562</v>
          </cell>
          <cell r="K17">
            <v>562</v>
          </cell>
          <cell r="L17">
            <v>562</v>
          </cell>
        </row>
        <row r="18">
          <cell r="B18">
            <v>341</v>
          </cell>
          <cell r="C18">
            <v>408</v>
          </cell>
          <cell r="D18">
            <v>422</v>
          </cell>
          <cell r="E18">
            <v>428</v>
          </cell>
          <cell r="F18">
            <v>433</v>
          </cell>
          <cell r="G18">
            <v>433</v>
          </cell>
          <cell r="H18">
            <v>434</v>
          </cell>
          <cell r="I18">
            <v>434</v>
          </cell>
          <cell r="J18">
            <v>434</v>
          </cell>
          <cell r="K18">
            <v>434</v>
          </cell>
        </row>
        <row r="19">
          <cell r="B19">
            <v>368</v>
          </cell>
          <cell r="C19">
            <v>442</v>
          </cell>
          <cell r="D19">
            <v>462</v>
          </cell>
          <cell r="E19">
            <v>466</v>
          </cell>
          <cell r="F19">
            <v>470</v>
          </cell>
          <cell r="G19">
            <v>471</v>
          </cell>
          <cell r="H19">
            <v>472</v>
          </cell>
          <cell r="I19">
            <v>473</v>
          </cell>
          <cell r="J19">
            <v>473</v>
          </cell>
        </row>
        <row r="20">
          <cell r="B20">
            <v>391</v>
          </cell>
          <cell r="C20">
            <v>464</v>
          </cell>
          <cell r="D20">
            <v>481</v>
          </cell>
          <cell r="E20">
            <v>494</v>
          </cell>
          <cell r="F20">
            <v>498</v>
          </cell>
          <cell r="G20">
            <v>500</v>
          </cell>
          <cell r="H20">
            <v>500</v>
          </cell>
          <cell r="I20">
            <v>501</v>
          </cell>
        </row>
        <row r="21">
          <cell r="B21">
            <v>398</v>
          </cell>
          <cell r="C21">
            <v>485</v>
          </cell>
          <cell r="D21">
            <v>496</v>
          </cell>
          <cell r="E21">
            <v>503</v>
          </cell>
          <cell r="F21">
            <v>505</v>
          </cell>
          <cell r="G21">
            <v>506</v>
          </cell>
          <cell r="H21">
            <v>507</v>
          </cell>
        </row>
        <row r="22">
          <cell r="B22">
            <v>351</v>
          </cell>
          <cell r="C22">
            <v>424</v>
          </cell>
          <cell r="D22">
            <v>442</v>
          </cell>
          <cell r="E22">
            <v>449</v>
          </cell>
          <cell r="F22">
            <v>453</v>
          </cell>
          <cell r="G22">
            <v>453</v>
          </cell>
        </row>
        <row r="23">
          <cell r="B23">
            <v>398</v>
          </cell>
          <cell r="C23">
            <v>473</v>
          </cell>
          <cell r="D23">
            <v>488</v>
          </cell>
          <cell r="E23">
            <v>493</v>
          </cell>
          <cell r="F23">
            <v>495</v>
          </cell>
        </row>
        <row r="24">
          <cell r="B24">
            <v>352</v>
          </cell>
          <cell r="C24">
            <v>442</v>
          </cell>
          <cell r="D24">
            <v>461</v>
          </cell>
          <cell r="E24">
            <v>471</v>
          </cell>
        </row>
        <row r="25">
          <cell r="B25">
            <v>362</v>
          </cell>
          <cell r="C25">
            <v>435</v>
          </cell>
          <cell r="D25">
            <v>447</v>
          </cell>
        </row>
        <row r="26">
          <cell r="B26">
            <v>325</v>
          </cell>
          <cell r="C26">
            <v>388</v>
          </cell>
        </row>
        <row r="27">
          <cell r="B27">
            <v>305</v>
          </cell>
        </row>
        <row r="62">
          <cell r="D62">
            <v>1.026710773928815</v>
          </cell>
          <cell r="E62">
            <v>1.0137177243979518</v>
          </cell>
          <cell r="F62">
            <v>1.0062476429135783</v>
          </cell>
          <cell r="G62">
            <v>1.0051422075723171</v>
          </cell>
          <cell r="H62">
            <v>1.0044804218546135</v>
          </cell>
          <cell r="I62">
            <v>1.0031179946486455</v>
          </cell>
          <cell r="J62">
            <v>1.00199026222071</v>
          </cell>
          <cell r="K62">
            <v>1.0010168260851326</v>
          </cell>
          <cell r="L62">
            <v>1.0006397952655151</v>
          </cell>
          <cell r="M62">
            <v>1.0006397952655151</v>
          </cell>
          <cell r="N62">
            <v>1</v>
          </cell>
          <cell r="O62">
            <v>1</v>
          </cell>
          <cell r="P62">
            <v>1</v>
          </cell>
        </row>
      </sheetData>
      <sheetData sheetId="5" refreshError="1">
        <row r="13">
          <cell r="B13">
            <v>296.33333333333331</v>
          </cell>
          <cell r="C13">
            <v>439</v>
          </cell>
          <cell r="D13">
            <v>474</v>
          </cell>
          <cell r="E13">
            <v>492.66666666666669</v>
          </cell>
          <cell r="F13">
            <v>507.66666666666669</v>
          </cell>
          <cell r="G13">
            <v>514.66666666666663</v>
          </cell>
          <cell r="H13">
            <v>516.66666666666663</v>
          </cell>
          <cell r="I13">
            <v>519.33333333333337</v>
          </cell>
          <cell r="J13">
            <v>519.66666666666663</v>
          </cell>
          <cell r="K13">
            <v>520.33333333333337</v>
          </cell>
          <cell r="L13">
            <v>521.66666666666663</v>
          </cell>
          <cell r="M13">
            <v>522</v>
          </cell>
          <cell r="N13">
            <v>522</v>
          </cell>
          <cell r="O13">
            <v>522</v>
          </cell>
          <cell r="P13">
            <v>522</v>
          </cell>
        </row>
        <row r="14">
          <cell r="B14">
            <v>311</v>
          </cell>
          <cell r="C14">
            <v>442</v>
          </cell>
          <cell r="D14">
            <v>480</v>
          </cell>
          <cell r="E14">
            <v>502</v>
          </cell>
          <cell r="F14">
            <v>512</v>
          </cell>
          <cell r="G14">
            <v>519</v>
          </cell>
          <cell r="H14">
            <v>520</v>
          </cell>
          <cell r="I14">
            <v>523</v>
          </cell>
          <cell r="J14">
            <v>523</v>
          </cell>
          <cell r="K14">
            <v>523</v>
          </cell>
          <cell r="L14">
            <v>524</v>
          </cell>
          <cell r="M14">
            <v>524</v>
          </cell>
          <cell r="N14">
            <v>525</v>
          </cell>
          <cell r="O14">
            <v>526</v>
          </cell>
        </row>
        <row r="15">
          <cell r="B15">
            <v>280</v>
          </cell>
          <cell r="C15">
            <v>427</v>
          </cell>
          <cell r="D15">
            <v>465</v>
          </cell>
          <cell r="E15">
            <v>481</v>
          </cell>
          <cell r="F15">
            <v>500</v>
          </cell>
          <cell r="G15">
            <v>508</v>
          </cell>
          <cell r="H15">
            <v>510</v>
          </cell>
          <cell r="I15">
            <v>512</v>
          </cell>
          <cell r="J15">
            <v>512</v>
          </cell>
          <cell r="K15">
            <v>512</v>
          </cell>
          <cell r="L15">
            <v>512</v>
          </cell>
          <cell r="M15">
            <v>513</v>
          </cell>
          <cell r="N15">
            <v>513</v>
          </cell>
        </row>
        <row r="16">
          <cell r="B16">
            <v>298</v>
          </cell>
          <cell r="C16">
            <v>448</v>
          </cell>
          <cell r="D16">
            <v>477</v>
          </cell>
          <cell r="E16">
            <v>495</v>
          </cell>
          <cell r="F16">
            <v>511</v>
          </cell>
          <cell r="G16">
            <v>517</v>
          </cell>
          <cell r="H16">
            <v>520</v>
          </cell>
          <cell r="I16">
            <v>523</v>
          </cell>
          <cell r="J16">
            <v>524</v>
          </cell>
          <cell r="K16">
            <v>526</v>
          </cell>
          <cell r="L16">
            <v>529</v>
          </cell>
          <cell r="M16">
            <v>529</v>
          </cell>
        </row>
        <row r="17">
          <cell r="B17">
            <v>373</v>
          </cell>
          <cell r="C17">
            <v>489</v>
          </cell>
          <cell r="D17">
            <v>509</v>
          </cell>
          <cell r="E17">
            <v>529</v>
          </cell>
          <cell r="F17">
            <v>540</v>
          </cell>
          <cell r="G17">
            <v>547</v>
          </cell>
          <cell r="H17">
            <v>551</v>
          </cell>
          <cell r="I17">
            <v>556</v>
          </cell>
          <cell r="J17">
            <v>557</v>
          </cell>
          <cell r="K17">
            <v>553</v>
          </cell>
          <cell r="L17">
            <v>554</v>
          </cell>
        </row>
        <row r="18">
          <cell r="B18">
            <v>263</v>
          </cell>
          <cell r="C18">
            <v>374</v>
          </cell>
          <cell r="D18">
            <v>398</v>
          </cell>
          <cell r="E18">
            <v>409</v>
          </cell>
          <cell r="F18">
            <v>424</v>
          </cell>
          <cell r="G18">
            <v>430</v>
          </cell>
          <cell r="H18">
            <v>431</v>
          </cell>
          <cell r="I18">
            <v>431</v>
          </cell>
          <cell r="J18">
            <v>433</v>
          </cell>
          <cell r="K18">
            <v>433</v>
          </cell>
        </row>
        <row r="19">
          <cell r="B19">
            <v>272</v>
          </cell>
          <cell r="C19">
            <v>400</v>
          </cell>
          <cell r="D19">
            <v>430</v>
          </cell>
          <cell r="E19">
            <v>448</v>
          </cell>
          <cell r="F19">
            <v>457</v>
          </cell>
          <cell r="G19">
            <v>464</v>
          </cell>
          <cell r="H19">
            <v>467</v>
          </cell>
          <cell r="I19">
            <v>473</v>
          </cell>
          <cell r="J19">
            <v>473</v>
          </cell>
        </row>
        <row r="20">
          <cell r="B20">
            <v>300</v>
          </cell>
          <cell r="C20">
            <v>431</v>
          </cell>
          <cell r="D20">
            <v>464</v>
          </cell>
          <cell r="E20">
            <v>478</v>
          </cell>
          <cell r="F20">
            <v>490</v>
          </cell>
          <cell r="G20">
            <v>492</v>
          </cell>
          <cell r="H20">
            <v>497</v>
          </cell>
          <cell r="I20">
            <v>497</v>
          </cell>
        </row>
        <row r="21">
          <cell r="B21">
            <v>292</v>
          </cell>
          <cell r="C21">
            <v>441</v>
          </cell>
          <cell r="D21">
            <v>464</v>
          </cell>
          <cell r="E21">
            <v>484</v>
          </cell>
          <cell r="F21">
            <v>494</v>
          </cell>
          <cell r="G21">
            <v>498</v>
          </cell>
          <cell r="H21">
            <v>500</v>
          </cell>
        </row>
        <row r="22">
          <cell r="B22">
            <v>230</v>
          </cell>
          <cell r="C22">
            <v>378</v>
          </cell>
          <cell r="D22">
            <v>406</v>
          </cell>
          <cell r="E22">
            <v>423</v>
          </cell>
          <cell r="F22">
            <v>442</v>
          </cell>
          <cell r="G22">
            <v>445</v>
          </cell>
        </row>
        <row r="23">
          <cell r="B23">
            <v>305</v>
          </cell>
          <cell r="C23">
            <v>441</v>
          </cell>
          <cell r="D23">
            <v>461</v>
          </cell>
          <cell r="E23">
            <v>472</v>
          </cell>
          <cell r="F23">
            <v>482</v>
          </cell>
        </row>
        <row r="24">
          <cell r="B24">
            <v>259</v>
          </cell>
          <cell r="C24">
            <v>405</v>
          </cell>
          <cell r="D24">
            <v>435</v>
          </cell>
          <cell r="E24">
            <v>452</v>
          </cell>
        </row>
        <row r="25">
          <cell r="B25">
            <v>237</v>
          </cell>
          <cell r="C25">
            <v>377</v>
          </cell>
          <cell r="D25">
            <v>412</v>
          </cell>
        </row>
        <row r="26">
          <cell r="B26">
            <v>217</v>
          </cell>
          <cell r="C26">
            <v>350</v>
          </cell>
        </row>
        <row r="27">
          <cell r="B27">
            <v>218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0">
          <cell r="A10" t="str">
            <v>Accident</v>
          </cell>
        </row>
      </sheetData>
      <sheetData sheetId="15" refreshError="1">
        <row r="10">
          <cell r="A10" t="str">
            <v>Accident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>
        <row r="18">
          <cell r="C18" t="str">
            <v>Loss</v>
          </cell>
          <cell r="D18" t="str">
            <v>Reserves</v>
          </cell>
        </row>
        <row r="20">
          <cell r="D20">
            <v>164371.90895800013</v>
          </cell>
        </row>
        <row r="21">
          <cell r="D21">
            <v>49522.540000000503</v>
          </cell>
        </row>
        <row r="22">
          <cell r="D22">
            <v>35227</v>
          </cell>
        </row>
        <row r="23">
          <cell r="D23">
            <v>73106.779999999329</v>
          </cell>
        </row>
        <row r="24">
          <cell r="D24">
            <v>363441.50999999978</v>
          </cell>
        </row>
        <row r="25">
          <cell r="D25">
            <v>70004.490000000224</v>
          </cell>
        </row>
        <row r="26">
          <cell r="D26">
            <v>0</v>
          </cell>
        </row>
        <row r="27">
          <cell r="D27">
            <v>210753.0299999998</v>
          </cell>
        </row>
        <row r="28">
          <cell r="D28">
            <v>475723.54000000004</v>
          </cell>
        </row>
        <row r="29">
          <cell r="D29">
            <v>535550</v>
          </cell>
        </row>
        <row r="30">
          <cell r="D30">
            <v>1315614</v>
          </cell>
        </row>
        <row r="31">
          <cell r="D31">
            <v>1144218.08</v>
          </cell>
        </row>
        <row r="32">
          <cell r="D32">
            <v>1389906</v>
          </cell>
        </row>
        <row r="33">
          <cell r="D33">
            <v>1768759</v>
          </cell>
        </row>
        <row r="34">
          <cell r="D34">
            <v>1981673</v>
          </cell>
        </row>
        <row r="36">
          <cell r="A36" t="str">
            <v>Total</v>
          </cell>
        </row>
        <row r="43">
          <cell r="F43" t="str">
            <v>Paid</v>
          </cell>
          <cell r="G43" t="str">
            <v>Incurred</v>
          </cell>
          <cell r="I43" t="str">
            <v>Paid</v>
          </cell>
          <cell r="J43" t="str">
            <v>Incurred</v>
          </cell>
        </row>
        <row r="44">
          <cell r="F44" t="str">
            <v>Loss</v>
          </cell>
          <cell r="G44" t="str">
            <v>Loss</v>
          </cell>
          <cell r="H44" t="str">
            <v>Expected</v>
          </cell>
          <cell r="I44" t="str">
            <v>Bornhuetter</v>
          </cell>
          <cell r="J44" t="str">
            <v>Bornhuetter</v>
          </cell>
          <cell r="K44" t="str">
            <v>Average</v>
          </cell>
          <cell r="L44" t="str">
            <v>Ultimate</v>
          </cell>
        </row>
        <row r="45">
          <cell r="F45" t="str">
            <v>Development</v>
          </cell>
          <cell r="G45" t="str">
            <v>Development</v>
          </cell>
          <cell r="H45" t="str">
            <v>Loss Ratio</v>
          </cell>
          <cell r="I45" t="str">
            <v>Ferguson</v>
          </cell>
          <cell r="J45" t="str">
            <v>Ferguson</v>
          </cell>
          <cell r="K45" t="str">
            <v>of</v>
          </cell>
          <cell r="L45" t="str">
            <v>Loss Ratio</v>
          </cell>
        </row>
        <row r="46">
          <cell r="F46" t="str">
            <v>Method</v>
          </cell>
          <cell r="G46" t="str">
            <v>Method</v>
          </cell>
          <cell r="H46" t="str">
            <v>Method</v>
          </cell>
          <cell r="I46" t="str">
            <v>Method</v>
          </cell>
          <cell r="J46" t="str">
            <v>Method</v>
          </cell>
          <cell r="K46" t="str">
            <v>Methods</v>
          </cell>
          <cell r="L46" t="str">
            <v>Selection</v>
          </cell>
        </row>
        <row r="48">
          <cell r="A48">
            <v>1998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A49">
            <v>1999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A50">
            <v>2000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A51">
            <v>2001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>
            <v>2002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>
            <v>2003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>
            <v>2004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A55">
            <v>2005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>
            <v>2006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A57">
            <v>2007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A58">
            <v>2008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A59">
            <v>2009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2010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2011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A62">
            <v>2012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</sheetData>
      <sheetData sheetId="21" refreshError="1">
        <row r="43">
          <cell r="D43" t="str">
            <v>Paid</v>
          </cell>
        </row>
        <row r="48">
          <cell r="A48">
            <v>1998</v>
          </cell>
        </row>
        <row r="49">
          <cell r="A49">
            <v>1999</v>
          </cell>
        </row>
        <row r="50">
          <cell r="A50">
            <v>2000</v>
          </cell>
        </row>
        <row r="51">
          <cell r="A51">
            <v>2001</v>
          </cell>
        </row>
        <row r="52">
          <cell r="A52">
            <v>2002</v>
          </cell>
        </row>
        <row r="53">
          <cell r="A53">
            <v>2003</v>
          </cell>
        </row>
        <row r="54">
          <cell r="A54">
            <v>2004</v>
          </cell>
        </row>
        <row r="55">
          <cell r="A55">
            <v>2005</v>
          </cell>
        </row>
        <row r="56">
          <cell r="A56">
            <v>2006</v>
          </cell>
        </row>
        <row r="57">
          <cell r="A57">
            <v>2007</v>
          </cell>
        </row>
        <row r="58">
          <cell r="A58">
            <v>2008</v>
          </cell>
        </row>
        <row r="59">
          <cell r="A59">
            <v>2009</v>
          </cell>
        </row>
        <row r="60">
          <cell r="A60">
            <v>2010</v>
          </cell>
        </row>
        <row r="61">
          <cell r="A61">
            <v>2011</v>
          </cell>
        </row>
        <row r="62">
          <cell r="A62">
            <v>2012</v>
          </cell>
        </row>
      </sheetData>
      <sheetData sheetId="22" refreshError="1">
        <row r="31">
          <cell r="A31">
            <v>2012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0"/>
  <sheetViews>
    <sheetView topLeftCell="A2" workbookViewId="0">
      <selection activeCell="B5" sqref="B5"/>
    </sheetView>
  </sheetViews>
  <sheetFormatPr defaultRowHeight="12.75"/>
  <cols>
    <col min="1" max="1" width="14.5703125" customWidth="1"/>
    <col min="2" max="2" width="11.140625" customWidth="1"/>
    <col min="3" max="3" width="14.140625" bestFit="1" customWidth="1"/>
  </cols>
  <sheetData>
    <row r="2" spans="1:3">
      <c r="A2" s="36" t="s">
        <v>36</v>
      </c>
      <c r="B2">
        <v>12</v>
      </c>
    </row>
    <row r="4" spans="1:3">
      <c r="A4" t="s">
        <v>38</v>
      </c>
      <c r="B4" s="277">
        <v>42735</v>
      </c>
    </row>
    <row r="6" spans="1:3">
      <c r="A6" t="s">
        <v>37</v>
      </c>
      <c r="B6" s="278">
        <v>2016</v>
      </c>
    </row>
    <row r="8" spans="1:3">
      <c r="A8" t="s">
        <v>41</v>
      </c>
      <c r="B8" s="278" t="s">
        <v>1</v>
      </c>
    </row>
    <row r="10" spans="1:3">
      <c r="A10" t="s">
        <v>42</v>
      </c>
      <c r="B10" s="278" t="s">
        <v>3</v>
      </c>
    </row>
    <row r="13" spans="1:3">
      <c r="A13" t="s">
        <v>141</v>
      </c>
      <c r="C13" s="36" t="s">
        <v>142</v>
      </c>
    </row>
    <row r="14" spans="1:3">
      <c r="B14">
        <f>+'Exercise 6 - Paid LDFs'!A10</f>
        <v>2002</v>
      </c>
      <c r="C14" s="279">
        <v>6953372</v>
      </c>
    </row>
    <row r="15" spans="1:3">
      <c r="B15">
        <f>+'Exercise 6 - Paid LDFs'!A11</f>
        <v>2003</v>
      </c>
      <c r="C15" s="279">
        <v>6567116</v>
      </c>
    </row>
    <row r="16" spans="1:3">
      <c r="B16">
        <f>+'Exercise 6 - Paid LDFs'!A12</f>
        <v>2004</v>
      </c>
      <c r="C16" s="279">
        <v>6690146</v>
      </c>
    </row>
    <row r="17" spans="2:3">
      <c r="B17">
        <f>+'Exercise 6 - Paid LDFs'!A13</f>
        <v>2005</v>
      </c>
      <c r="C17" s="279">
        <v>7103262.0000000009</v>
      </c>
    </row>
    <row r="18" spans="2:3">
      <c r="B18">
        <f>+'Exercise 6 - Paid LDFs'!A14</f>
        <v>2006</v>
      </c>
      <c r="C18" s="279">
        <v>7959030</v>
      </c>
    </row>
    <row r="19" spans="2:3">
      <c r="B19">
        <f>+'Exercise 6 - Paid LDFs'!A15</f>
        <v>2007</v>
      </c>
      <c r="C19" s="279">
        <v>9363418</v>
      </c>
    </row>
    <row r="20" spans="2:3">
      <c r="B20">
        <f>+'Exercise 6 - Paid LDFs'!A16</f>
        <v>2008</v>
      </c>
      <c r="C20" s="279">
        <v>10597562</v>
      </c>
    </row>
    <row r="21" spans="2:3">
      <c r="B21">
        <f>+'Exercise 6 - Paid LDFs'!A17</f>
        <v>2009</v>
      </c>
      <c r="C21" s="279">
        <v>11036360</v>
      </c>
    </row>
    <row r="22" spans="2:3">
      <c r="B22">
        <f>+'Exercise 6 - Paid LDFs'!A18</f>
        <v>2010</v>
      </c>
      <c r="C22" s="279">
        <v>11402928</v>
      </c>
    </row>
    <row r="23" spans="2:3">
      <c r="B23">
        <f>+'Exercise 6 - Paid LDFs'!A19</f>
        <v>2011</v>
      </c>
      <c r="C23" s="279">
        <v>11099580</v>
      </c>
    </row>
    <row r="24" spans="2:3">
      <c r="B24">
        <f>+'Exercise 6 - Paid LDFs'!A20</f>
        <v>2012</v>
      </c>
      <c r="C24" s="279">
        <v>10683363</v>
      </c>
    </row>
    <row r="25" spans="2:3">
      <c r="B25">
        <f>+'Exercise 6 - Paid LDFs'!A21</f>
        <v>2013</v>
      </c>
      <c r="C25" s="279">
        <v>10430225</v>
      </c>
    </row>
    <row r="26" spans="2:3">
      <c r="B26">
        <f>+'Exercise 6 - Paid LDFs'!A22</f>
        <v>2014</v>
      </c>
      <c r="C26" s="279">
        <v>10106327</v>
      </c>
    </row>
    <row r="27" spans="2:3">
      <c r="B27">
        <f>+'Exercise 6 - Paid LDFs'!A23</f>
        <v>2015</v>
      </c>
      <c r="C27" s="279">
        <v>9889744</v>
      </c>
    </row>
    <row r="28" spans="2:3">
      <c r="B28">
        <f>+'Exercise 6 - Paid LDFs'!A24</f>
        <v>2016</v>
      </c>
      <c r="C28" s="279">
        <v>9998035.5</v>
      </c>
    </row>
    <row r="30" spans="2:3">
      <c r="B30" t="s">
        <v>63</v>
      </c>
      <c r="C30" s="103">
        <f>SUM(C14:C29)</f>
        <v>139880468.5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H126"/>
  <sheetViews>
    <sheetView workbookViewId="0"/>
  </sheetViews>
  <sheetFormatPr defaultRowHeight="12.75"/>
  <cols>
    <col min="1" max="2" width="13.42578125" customWidth="1"/>
    <col min="3" max="3" width="14.85546875" customWidth="1"/>
    <col min="4" max="4" width="14.140625" customWidth="1"/>
    <col min="5" max="5" width="17.7109375" customWidth="1"/>
    <col min="6" max="6" width="17.28515625" customWidth="1"/>
    <col min="7" max="7" width="10" customWidth="1"/>
    <col min="8" max="8" width="14.85546875" customWidth="1"/>
    <col min="9" max="10" width="10" customWidth="1"/>
    <col min="11" max="11" width="14.140625" customWidth="1"/>
  </cols>
  <sheetData>
    <row r="1" spans="1:6" ht="15.75">
      <c r="A1" s="203" t="s">
        <v>0</v>
      </c>
      <c r="B1" s="73"/>
    </row>
    <row r="2" spans="1:6" ht="15.75">
      <c r="A2" s="204" t="str">
        <f>+"Analysis of Loss &amp; DCC Reserves as of "&amp;TEXT(EvalDate,"mm/dd/yyy")</f>
        <v>Analysis of Loss &amp; DCC Reserves as of 12/31/2016</v>
      </c>
      <c r="B2" s="73"/>
    </row>
    <row r="3" spans="1:6" ht="15.75">
      <c r="A3" s="205" t="str">
        <f>+LOB</f>
        <v>Liability</v>
      </c>
      <c r="B3" s="73"/>
    </row>
    <row r="5" spans="1:6" ht="15.75">
      <c r="A5" s="104" t="s">
        <v>70</v>
      </c>
      <c r="B5" s="73"/>
    </row>
    <row r="6" spans="1:6" ht="15.75">
      <c r="A6" s="73"/>
      <c r="B6" s="73"/>
    </row>
    <row r="7" spans="1:6" ht="15.75">
      <c r="A7" s="73"/>
      <c r="B7" s="73"/>
    </row>
    <row r="8" spans="1:6" ht="15.75">
      <c r="A8" s="73"/>
      <c r="B8" s="73"/>
    </row>
    <row r="9" spans="1:6" ht="15.75">
      <c r="A9" s="73"/>
      <c r="B9" s="74"/>
      <c r="C9" s="75"/>
      <c r="D9" s="76"/>
      <c r="E9" s="76"/>
      <c r="F9" s="76"/>
    </row>
    <row r="10" spans="1:6" ht="15.75">
      <c r="A10" s="73"/>
      <c r="B10" s="78" t="s">
        <v>45</v>
      </c>
      <c r="C10" s="79" t="s">
        <v>46</v>
      </c>
      <c r="D10" s="79" t="s">
        <v>47</v>
      </c>
      <c r="E10" s="79" t="s">
        <v>48</v>
      </c>
      <c r="F10" s="79" t="s">
        <v>49</v>
      </c>
    </row>
    <row r="11" spans="1:6" ht="15.75">
      <c r="A11" s="40"/>
      <c r="B11" s="81"/>
      <c r="C11" s="82"/>
      <c r="D11" s="76"/>
      <c r="E11" s="258"/>
      <c r="F11" s="76"/>
    </row>
    <row r="12" spans="1:6" ht="15.75">
      <c r="A12" s="46"/>
      <c r="B12" s="85"/>
      <c r="C12" s="86"/>
      <c r="D12" s="83"/>
      <c r="E12" s="257" t="s">
        <v>52</v>
      </c>
      <c r="F12" s="83"/>
    </row>
    <row r="13" spans="1:6" ht="15.75">
      <c r="A13" s="46"/>
      <c r="B13" s="85"/>
      <c r="C13" s="86"/>
      <c r="D13" s="83" t="s">
        <v>52</v>
      </c>
      <c r="E13" s="257" t="s">
        <v>68</v>
      </c>
      <c r="F13" s="83" t="s">
        <v>54</v>
      </c>
    </row>
    <row r="14" spans="1:6" ht="15.75">
      <c r="A14" s="46" t="s">
        <v>3</v>
      </c>
      <c r="B14" s="85"/>
      <c r="C14" s="86" t="s">
        <v>52</v>
      </c>
      <c r="D14" s="83" t="s">
        <v>68</v>
      </c>
      <c r="E14" s="257" t="s">
        <v>55</v>
      </c>
      <c r="F14" s="83" t="s">
        <v>56</v>
      </c>
    </row>
    <row r="15" spans="1:6" ht="15.75">
      <c r="A15" s="87" t="s">
        <v>5</v>
      </c>
      <c r="B15" s="88" t="s">
        <v>57</v>
      </c>
      <c r="C15" s="88" t="s">
        <v>68</v>
      </c>
      <c r="D15" s="87" t="s">
        <v>59</v>
      </c>
      <c r="E15" s="259" t="s">
        <v>60</v>
      </c>
      <c r="F15" s="87" t="s">
        <v>69</v>
      </c>
    </row>
    <row r="16" spans="1:6">
      <c r="A16" s="89"/>
      <c r="B16" s="89"/>
      <c r="C16" s="90"/>
      <c r="D16" s="90"/>
      <c r="E16" s="90"/>
      <c r="F16" s="90"/>
    </row>
    <row r="17" spans="1:8">
      <c r="A17" s="89">
        <f t="shared" ref="A17:A29" si="0">+A18-1</f>
        <v>2002</v>
      </c>
      <c r="B17" s="105">
        <f t="shared" ref="B17:B29" si="1">+B18+12</f>
        <v>180</v>
      </c>
      <c r="C17" s="106">
        <f>+'Exercise 6 DCC Paid LDFs'!S111</f>
        <v>719225.924</v>
      </c>
      <c r="D17" s="260">
        <f t="shared" ref="D17:D30" si="2">+D110</f>
        <v>1</v>
      </c>
      <c r="E17" s="261">
        <f t="shared" ref="E17:E30" si="3">+D17*C17</f>
        <v>719225.924</v>
      </c>
      <c r="F17" s="261">
        <f>+E17-C17</f>
        <v>0</v>
      </c>
    </row>
    <row r="18" spans="1:8">
      <c r="A18" s="89">
        <f t="shared" si="0"/>
        <v>2003</v>
      </c>
      <c r="B18" s="105">
        <f t="shared" si="1"/>
        <v>168</v>
      </c>
      <c r="C18" s="106">
        <f>+'Exercise 6 DCC Paid LDFs'!S112</f>
        <v>858429.76</v>
      </c>
      <c r="D18" s="260">
        <f t="shared" si="2"/>
        <v>1</v>
      </c>
      <c r="E18" s="261">
        <f t="shared" si="3"/>
        <v>858429.76</v>
      </c>
      <c r="F18" s="261">
        <f t="shared" ref="F18:F33" si="4">+E18-C18</f>
        <v>0</v>
      </c>
    </row>
    <row r="19" spans="1:8">
      <c r="A19" s="89">
        <f t="shared" si="0"/>
        <v>2004</v>
      </c>
      <c r="B19" s="105">
        <f t="shared" si="1"/>
        <v>156</v>
      </c>
      <c r="C19" s="106">
        <f>+'Exercise 6 DCC Paid LDFs'!S113</f>
        <v>870449.40640000009</v>
      </c>
      <c r="D19" s="260">
        <f t="shared" si="2"/>
        <v>1.0027143992898726</v>
      </c>
      <c r="E19" s="261">
        <f t="shared" si="3"/>
        <v>872812.15365060233</v>
      </c>
      <c r="F19" s="261">
        <f t="shared" si="4"/>
        <v>2362.7472506022314</v>
      </c>
    </row>
    <row r="20" spans="1:8">
      <c r="A20" s="89">
        <f t="shared" si="0"/>
        <v>2005</v>
      </c>
      <c r="B20" s="105">
        <f t="shared" si="1"/>
        <v>144</v>
      </c>
      <c r="C20" s="106">
        <f>+'Exercise 6 DCC Paid LDFs'!S114</f>
        <v>996751.77280000004</v>
      </c>
      <c r="D20" s="260">
        <f t="shared" si="2"/>
        <v>1.0083974100949231</v>
      </c>
      <c r="E20" s="261">
        <f t="shared" si="3"/>
        <v>1005121.9061990433</v>
      </c>
      <c r="F20" s="261">
        <f t="shared" si="4"/>
        <v>8370.1333990432322</v>
      </c>
    </row>
    <row r="21" spans="1:8">
      <c r="A21" s="89">
        <f t="shared" si="0"/>
        <v>2006</v>
      </c>
      <c r="B21" s="105">
        <f t="shared" si="1"/>
        <v>132</v>
      </c>
      <c r="C21" s="106">
        <f>+'Exercise 6 DCC Paid LDFs'!S115</f>
        <v>959816.16480000014</v>
      </c>
      <c r="D21" s="260">
        <f t="shared" si="2"/>
        <v>1.0155487623723116</v>
      </c>
      <c r="E21" s="261">
        <f t="shared" si="3"/>
        <v>974740.11826757889</v>
      </c>
      <c r="F21" s="261">
        <f t="shared" si="4"/>
        <v>14923.953467578744</v>
      </c>
    </row>
    <row r="22" spans="1:8">
      <c r="A22" s="89">
        <f t="shared" si="0"/>
        <v>2007</v>
      </c>
      <c r="B22" s="105">
        <f t="shared" si="1"/>
        <v>120</v>
      </c>
      <c r="C22" s="106">
        <f>+'Exercise 6 DCC Paid LDFs'!S116</f>
        <v>1216164.3153659999</v>
      </c>
      <c r="D22" s="260">
        <f t="shared" si="2"/>
        <v>1.0220034724828346</v>
      </c>
      <c r="E22" s="261">
        <f t="shared" si="3"/>
        <v>1242924.1534137612</v>
      </c>
      <c r="F22" s="261">
        <f t="shared" si="4"/>
        <v>26759.838047761237</v>
      </c>
    </row>
    <row r="23" spans="1:8">
      <c r="A23" s="89">
        <f t="shared" si="0"/>
        <v>2008</v>
      </c>
      <c r="B23" s="105">
        <f t="shared" si="1"/>
        <v>108</v>
      </c>
      <c r="C23" s="106">
        <f>+'Exercise 6 DCC Paid LDFs'!S117</f>
        <v>1290836.1432528</v>
      </c>
      <c r="D23" s="260">
        <f t="shared" si="2"/>
        <v>1.0307594843931185</v>
      </c>
      <c r="E23" s="261">
        <f t="shared" si="3"/>
        <v>1330541.5974552578</v>
      </c>
      <c r="F23" s="261">
        <f t="shared" si="4"/>
        <v>39705.454202457797</v>
      </c>
    </row>
    <row r="24" spans="1:8">
      <c r="A24" s="89">
        <f t="shared" si="0"/>
        <v>2009</v>
      </c>
      <c r="B24" s="105">
        <f t="shared" si="1"/>
        <v>96</v>
      </c>
      <c r="C24" s="106">
        <f>+'Exercise 6 DCC Paid LDFs'!S118</f>
        <v>1126514.1681000001</v>
      </c>
      <c r="D24" s="260">
        <f t="shared" si="2"/>
        <v>1.0426816287598617</v>
      </c>
      <c r="E24" s="261">
        <f t="shared" si="3"/>
        <v>1174595.6276155687</v>
      </c>
      <c r="F24" s="261">
        <f t="shared" si="4"/>
        <v>48081.459515568567</v>
      </c>
    </row>
    <row r="25" spans="1:8">
      <c r="A25" s="89">
        <f t="shared" si="0"/>
        <v>2010</v>
      </c>
      <c r="B25" s="105">
        <f t="shared" si="1"/>
        <v>84</v>
      </c>
      <c r="C25" s="106">
        <f>+'Exercise 6 DCC Paid LDFs'!S119</f>
        <v>1054094.2344</v>
      </c>
      <c r="D25" s="260">
        <f t="shared" si="2"/>
        <v>1.0575549610648054</v>
      </c>
      <c r="E25" s="261">
        <f t="shared" si="3"/>
        <v>1114762.5870195278</v>
      </c>
      <c r="F25" s="261">
        <f t="shared" si="4"/>
        <v>60668.352619527839</v>
      </c>
    </row>
    <row r="26" spans="1:8">
      <c r="A26" s="89">
        <f t="shared" si="0"/>
        <v>2011</v>
      </c>
      <c r="B26" s="105">
        <f t="shared" si="1"/>
        <v>72</v>
      </c>
      <c r="C26" s="106">
        <f>+'Exercise 6 DCC Paid LDFs'!S120</f>
        <v>1105067.26596</v>
      </c>
      <c r="D26" s="260">
        <f t="shared" si="2"/>
        <v>1.0869369883526798</v>
      </c>
      <c r="E26" s="261">
        <f t="shared" si="3"/>
        <v>1201138.4859896922</v>
      </c>
      <c r="F26" s="261">
        <f t="shared" si="4"/>
        <v>96071.220029692166</v>
      </c>
    </row>
    <row r="27" spans="1:8">
      <c r="A27" s="89">
        <f t="shared" si="0"/>
        <v>2012</v>
      </c>
      <c r="B27" s="105">
        <f t="shared" si="1"/>
        <v>60</v>
      </c>
      <c r="C27" s="106">
        <f>+'Exercise 6 DCC Paid LDFs'!S121</f>
        <v>1044548.2749239999</v>
      </c>
      <c r="D27" s="260">
        <f t="shared" si="2"/>
        <v>1.1203386514587199</v>
      </c>
      <c r="E27" s="261">
        <f t="shared" si="3"/>
        <v>1170247.8057118864</v>
      </c>
      <c r="F27" s="261">
        <f t="shared" si="4"/>
        <v>125699.53078788647</v>
      </c>
    </row>
    <row r="28" spans="1:8">
      <c r="A28" s="89">
        <f t="shared" si="0"/>
        <v>2013</v>
      </c>
      <c r="B28" s="105">
        <f t="shared" si="1"/>
        <v>48</v>
      </c>
      <c r="C28" s="106">
        <f>+'Exercise 6 DCC Paid LDFs'!S122</f>
        <v>735634.60624333331</v>
      </c>
      <c r="D28" s="260">
        <f t="shared" si="2"/>
        <v>1.4446080935761743</v>
      </c>
      <c r="E28" s="261">
        <f t="shared" si="3"/>
        <v>1062703.7060938415</v>
      </c>
      <c r="F28" s="261">
        <f t="shared" si="4"/>
        <v>327069.09985050815</v>
      </c>
    </row>
    <row r="29" spans="1:8">
      <c r="A29" s="89">
        <f t="shared" si="0"/>
        <v>2014</v>
      </c>
      <c r="B29" s="105">
        <f t="shared" si="1"/>
        <v>36</v>
      </c>
      <c r="C29" s="106">
        <f>+'Exercise 6 DCC Paid LDFs'!S123</f>
        <v>554805.76684852201</v>
      </c>
      <c r="D29" s="260">
        <f t="shared" si="2"/>
        <v>2.9514371431756978</v>
      </c>
      <c r="E29" s="261">
        <f t="shared" si="3"/>
        <v>1637474.3475248041</v>
      </c>
      <c r="F29" s="261">
        <f t="shared" si="4"/>
        <v>1082668.5806762821</v>
      </c>
    </row>
    <row r="30" spans="1:8">
      <c r="A30" s="89">
        <f>+A31-1</f>
        <v>2015</v>
      </c>
      <c r="B30" s="105">
        <f>+B31+12</f>
        <v>24</v>
      </c>
      <c r="C30" s="106">
        <f>+'Exercise 6 DCC Paid LDFs'!S124</f>
        <v>116870.20512984773</v>
      </c>
      <c r="D30" s="260">
        <f t="shared" si="2"/>
        <v>10.343506025913129</v>
      </c>
      <c r="E30" s="261">
        <f t="shared" si="3"/>
        <v>1208847.6710102835</v>
      </c>
      <c r="F30" s="261">
        <f t="shared" si="4"/>
        <v>1091977.4658804359</v>
      </c>
    </row>
    <row r="31" spans="1:8">
      <c r="A31" s="89">
        <f>+EndYear</f>
        <v>2016</v>
      </c>
      <c r="B31" s="105">
        <v>12</v>
      </c>
      <c r="C31" s="106">
        <f>+'Exercise 6 DCC Paid LDFs'!S125</f>
        <v>45499.605052101098</v>
      </c>
      <c r="D31" s="260">
        <f>+D124</f>
        <v>36.860238669053679</v>
      </c>
      <c r="E31" s="261">
        <f>+D31*C31</f>
        <v>1677126.301568127</v>
      </c>
      <c r="F31" s="261">
        <f t="shared" si="4"/>
        <v>1631626.6965160258</v>
      </c>
      <c r="H31" s="281"/>
    </row>
    <row r="32" spans="1:8">
      <c r="A32" s="89"/>
      <c r="B32" s="89"/>
      <c r="C32" s="107"/>
      <c r="D32" s="171"/>
      <c r="E32" s="107"/>
      <c r="F32" s="107"/>
    </row>
    <row r="33" spans="1:6">
      <c r="A33" s="97" t="s">
        <v>63</v>
      </c>
      <c r="B33" s="97"/>
      <c r="C33" s="108">
        <f>SUM(C17:C31)</f>
        <v>12694707.613276603</v>
      </c>
      <c r="D33" s="99"/>
      <c r="E33" s="262">
        <f>SUM(E17:E31)</f>
        <v>17250692.145519972</v>
      </c>
      <c r="F33" s="274">
        <f t="shared" si="4"/>
        <v>4555984.5322433691</v>
      </c>
    </row>
    <row r="34" spans="1:6">
      <c r="C34" s="109"/>
    </row>
    <row r="35" spans="1:6" ht="15.75">
      <c r="A35" s="100"/>
      <c r="B35" s="100"/>
    </row>
    <row r="36" spans="1:6" ht="15.75">
      <c r="A36" s="101"/>
      <c r="B36" s="101"/>
    </row>
    <row r="110" spans="2:6">
      <c r="B110">
        <f>+'Exercise 6 DCC Paid LDFs'!R111</f>
        <v>180</v>
      </c>
      <c r="C110" s="109">
        <f>+'Exercise 6 DCC Paid LDFs'!S111</f>
        <v>719225.924</v>
      </c>
      <c r="D110" s="244">
        <f>+'Exercise 6 DCC Paid LDFs'!T111</f>
        <v>1</v>
      </c>
      <c r="E110" s="109">
        <f>+C110*D110</f>
        <v>719225.924</v>
      </c>
      <c r="F110" s="103">
        <f>+E110-C110</f>
        <v>0</v>
      </c>
    </row>
    <row r="111" spans="2:6">
      <c r="B111">
        <f>+'Exercise 6 DCC Paid LDFs'!R112</f>
        <v>168</v>
      </c>
      <c r="C111" s="109">
        <f>+'Exercise 6 DCC Paid LDFs'!S112</f>
        <v>858429.76</v>
      </c>
      <c r="D111" s="244">
        <f>+'Exercise 6 DCC Paid LDFs'!T112</f>
        <v>1</v>
      </c>
      <c r="E111" s="109">
        <f t="shared" ref="E111:E124" si="5">+C111*D111</f>
        <v>858429.76</v>
      </c>
      <c r="F111" s="103">
        <f t="shared" ref="F111:F124" si="6">+E111-C111</f>
        <v>0</v>
      </c>
    </row>
    <row r="112" spans="2:6">
      <c r="B112">
        <f>+'Exercise 6 DCC Paid LDFs'!R113</f>
        <v>156</v>
      </c>
      <c r="C112" s="109">
        <f>+'Exercise 6 DCC Paid LDFs'!S113</f>
        <v>870449.40640000009</v>
      </c>
      <c r="D112" s="244">
        <f>+'Exercise 6 DCC Paid LDFs'!T113</f>
        <v>1.0027143992898726</v>
      </c>
      <c r="E112" s="109">
        <f t="shared" si="5"/>
        <v>872812.15365060233</v>
      </c>
      <c r="F112" s="103">
        <f t="shared" si="6"/>
        <v>2362.7472506022314</v>
      </c>
    </row>
    <row r="113" spans="2:6">
      <c r="B113">
        <f>+'Exercise 6 DCC Paid LDFs'!R114</f>
        <v>144</v>
      </c>
      <c r="C113" s="109">
        <f>+'Exercise 6 DCC Paid LDFs'!S114</f>
        <v>996751.77280000004</v>
      </c>
      <c r="D113" s="244">
        <f>+'Exercise 6 DCC Paid LDFs'!T114</f>
        <v>1.0083974100949231</v>
      </c>
      <c r="E113" s="109">
        <f t="shared" si="5"/>
        <v>1005121.9061990433</v>
      </c>
      <c r="F113" s="103">
        <f t="shared" si="6"/>
        <v>8370.1333990432322</v>
      </c>
    </row>
    <row r="114" spans="2:6">
      <c r="B114">
        <f>+'Exercise 6 DCC Paid LDFs'!R115</f>
        <v>132</v>
      </c>
      <c r="C114" s="109">
        <f>+'Exercise 6 DCC Paid LDFs'!S115</f>
        <v>959816.16480000014</v>
      </c>
      <c r="D114" s="244">
        <f>+'Exercise 6 DCC Paid LDFs'!T115</f>
        <v>1.0155487623723116</v>
      </c>
      <c r="E114" s="109">
        <f t="shared" si="5"/>
        <v>974740.11826757889</v>
      </c>
      <c r="F114" s="103">
        <f t="shared" si="6"/>
        <v>14923.953467578744</v>
      </c>
    </row>
    <row r="115" spans="2:6">
      <c r="B115">
        <f>+'Exercise 6 DCC Paid LDFs'!R116</f>
        <v>120</v>
      </c>
      <c r="C115" s="109">
        <f>+'Exercise 6 DCC Paid LDFs'!S116</f>
        <v>1216164.3153659999</v>
      </c>
      <c r="D115" s="244">
        <f>+'Exercise 6 DCC Paid LDFs'!T116</f>
        <v>1.0220034724828346</v>
      </c>
      <c r="E115" s="109">
        <f t="shared" si="5"/>
        <v>1242924.1534137612</v>
      </c>
      <c r="F115" s="103">
        <f t="shared" si="6"/>
        <v>26759.838047761237</v>
      </c>
    </row>
    <row r="116" spans="2:6">
      <c r="B116">
        <f>+'Exercise 6 DCC Paid LDFs'!R117</f>
        <v>108</v>
      </c>
      <c r="C116" s="109">
        <f>+'Exercise 6 DCC Paid LDFs'!S117</f>
        <v>1290836.1432528</v>
      </c>
      <c r="D116" s="244">
        <f>+'Exercise 6 DCC Paid LDFs'!T117</f>
        <v>1.0307594843931185</v>
      </c>
      <c r="E116" s="109">
        <f t="shared" si="5"/>
        <v>1330541.5974552578</v>
      </c>
      <c r="F116" s="103">
        <f t="shared" si="6"/>
        <v>39705.454202457797</v>
      </c>
    </row>
    <row r="117" spans="2:6">
      <c r="B117">
        <f>+'Exercise 6 DCC Paid LDFs'!R118</f>
        <v>96</v>
      </c>
      <c r="C117" s="109">
        <f>+'Exercise 6 DCC Paid LDFs'!S118</f>
        <v>1126514.1681000001</v>
      </c>
      <c r="D117" s="244">
        <f>+'Exercise 6 DCC Paid LDFs'!T118</f>
        <v>1.0426816287598617</v>
      </c>
      <c r="E117" s="109">
        <f t="shared" si="5"/>
        <v>1174595.6276155687</v>
      </c>
      <c r="F117" s="103">
        <f t="shared" si="6"/>
        <v>48081.459515568567</v>
      </c>
    </row>
    <row r="118" spans="2:6">
      <c r="B118">
        <f>+'Exercise 6 DCC Paid LDFs'!R119</f>
        <v>84</v>
      </c>
      <c r="C118" s="109">
        <f>+'Exercise 6 DCC Paid LDFs'!S119</f>
        <v>1054094.2344</v>
      </c>
      <c r="D118" s="244">
        <f>+'Exercise 6 DCC Paid LDFs'!T119</f>
        <v>1.0575549610648054</v>
      </c>
      <c r="E118" s="109">
        <f t="shared" si="5"/>
        <v>1114762.5870195278</v>
      </c>
      <c r="F118" s="103">
        <f t="shared" si="6"/>
        <v>60668.352619527839</v>
      </c>
    </row>
    <row r="119" spans="2:6">
      <c r="B119">
        <f>+'Exercise 6 DCC Paid LDFs'!R120</f>
        <v>72</v>
      </c>
      <c r="C119" s="109">
        <f>+'Exercise 6 DCC Paid LDFs'!S120</f>
        <v>1105067.26596</v>
      </c>
      <c r="D119" s="244">
        <f>+'Exercise 6 DCC Paid LDFs'!T120</f>
        <v>1.0869369883526798</v>
      </c>
      <c r="E119" s="109">
        <f t="shared" si="5"/>
        <v>1201138.4859896922</v>
      </c>
      <c r="F119" s="103">
        <f t="shared" si="6"/>
        <v>96071.220029692166</v>
      </c>
    </row>
    <row r="120" spans="2:6">
      <c r="B120">
        <f>+'Exercise 6 DCC Paid LDFs'!R121</f>
        <v>60</v>
      </c>
      <c r="C120" s="109">
        <f>+'Exercise 6 DCC Paid LDFs'!S121</f>
        <v>1044548.2749239999</v>
      </c>
      <c r="D120" s="244">
        <f>+'Exercise 6 DCC Paid LDFs'!T121</f>
        <v>1.1203386514587199</v>
      </c>
      <c r="E120" s="109">
        <f t="shared" si="5"/>
        <v>1170247.8057118864</v>
      </c>
      <c r="F120" s="103">
        <f t="shared" si="6"/>
        <v>125699.53078788647</v>
      </c>
    </row>
    <row r="121" spans="2:6">
      <c r="B121">
        <f>+'Exercise 6 DCC Paid LDFs'!R122</f>
        <v>48</v>
      </c>
      <c r="C121" s="109">
        <f>+'Exercise 6 DCC Paid LDFs'!S122</f>
        <v>735634.60624333331</v>
      </c>
      <c r="D121" s="244">
        <f>+'Exercise 6 DCC Paid LDFs'!T122</f>
        <v>1.4446080935761743</v>
      </c>
      <c r="E121" s="109">
        <f t="shared" si="5"/>
        <v>1062703.7060938415</v>
      </c>
      <c r="F121" s="103">
        <f t="shared" si="6"/>
        <v>327069.09985050815</v>
      </c>
    </row>
    <row r="122" spans="2:6">
      <c r="B122">
        <f>+'Exercise 6 DCC Paid LDFs'!R123</f>
        <v>36</v>
      </c>
      <c r="C122" s="109">
        <f>+'Exercise 6 DCC Paid LDFs'!S123</f>
        <v>554805.76684852201</v>
      </c>
      <c r="D122" s="244">
        <f>+'Exercise 6 DCC Paid LDFs'!T123</f>
        <v>2.9514371431756978</v>
      </c>
      <c r="E122" s="109">
        <f t="shared" si="5"/>
        <v>1637474.3475248041</v>
      </c>
      <c r="F122" s="103">
        <f t="shared" si="6"/>
        <v>1082668.5806762821</v>
      </c>
    </row>
    <row r="123" spans="2:6">
      <c r="B123">
        <f>+'Exercise 6 DCC Paid LDFs'!R124</f>
        <v>24</v>
      </c>
      <c r="C123" s="109">
        <f>+'Exercise 6 DCC Paid LDFs'!S124</f>
        <v>116870.20512984773</v>
      </c>
      <c r="D123" s="244">
        <f>+'Exercise 6 DCC Paid LDFs'!T124</f>
        <v>10.343506025913129</v>
      </c>
      <c r="E123" s="109">
        <f t="shared" si="5"/>
        <v>1208847.6710102835</v>
      </c>
      <c r="F123" s="103">
        <f t="shared" si="6"/>
        <v>1091977.4658804359</v>
      </c>
    </row>
    <row r="124" spans="2:6">
      <c r="B124">
        <f>+'Exercise 6 DCC Paid LDFs'!R125</f>
        <v>12</v>
      </c>
      <c r="C124" s="109">
        <f>+'Exercise 6 DCC Paid LDFs'!S125</f>
        <v>45499.605052101098</v>
      </c>
      <c r="D124" s="244">
        <f>+'Exercise 6 DCC Paid LDFs'!T125</f>
        <v>36.860238669053679</v>
      </c>
      <c r="E124" s="109">
        <f t="shared" si="5"/>
        <v>1677126.301568127</v>
      </c>
      <c r="F124" s="103">
        <f t="shared" si="6"/>
        <v>1631626.6965160258</v>
      </c>
    </row>
    <row r="126" spans="2:6">
      <c r="C126" s="103">
        <f>SUM(C110:C125)</f>
        <v>12694707.613276603</v>
      </c>
      <c r="E126" s="103">
        <f>SUM(E110:E125)</f>
        <v>17250692.145519972</v>
      </c>
      <c r="F126" s="103">
        <f>SUM(F110:F125)</f>
        <v>4555984.5322433701</v>
      </c>
    </row>
  </sheetData>
  <conditionalFormatting sqref="D17:D31">
    <cfRule type="cellIs" dxfId="66" priority="4" operator="notEqual">
      <formula>$D110</formula>
    </cfRule>
  </conditionalFormatting>
  <conditionalFormatting sqref="E17:E31">
    <cfRule type="cellIs" dxfId="65" priority="3" operator="notEqual">
      <formula>$E110</formula>
    </cfRule>
  </conditionalFormatting>
  <conditionalFormatting sqref="F17:F31">
    <cfRule type="cellIs" dxfId="64" priority="2" operator="notEqual">
      <formula>$F110</formula>
    </cfRule>
  </conditionalFormatting>
  <conditionalFormatting sqref="F33">
    <cfRule type="cellIs" dxfId="63" priority="1" operator="notEqual">
      <formula>$F126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H126"/>
  <sheetViews>
    <sheetView workbookViewId="0">
      <selection activeCell="J16" sqref="J16"/>
    </sheetView>
  </sheetViews>
  <sheetFormatPr defaultRowHeight="12.75"/>
  <cols>
    <col min="1" max="1" width="13.42578125" customWidth="1"/>
    <col min="2" max="2" width="18.7109375" customWidth="1"/>
    <col min="3" max="3" width="16.7109375" customWidth="1"/>
    <col min="4" max="4" width="10.5703125" customWidth="1"/>
    <col min="5" max="5" width="17.7109375" customWidth="1"/>
    <col min="6" max="6" width="15.28515625" customWidth="1"/>
    <col min="7" max="7" width="14.5703125" customWidth="1"/>
    <col min="8" max="8" width="14.7109375" customWidth="1"/>
  </cols>
  <sheetData>
    <row r="1" spans="1:8" ht="15.75">
      <c r="A1" s="203" t="s">
        <v>0</v>
      </c>
      <c r="B1" s="73"/>
    </row>
    <row r="2" spans="1:8" ht="15.75">
      <c r="A2" s="204" t="str">
        <f>+"Analysis of Loss &amp; DCC Reserves as of "&amp;TEXT(EvalDate,"mm/dd/yyy")</f>
        <v>Analysis of Loss &amp; DCC Reserves as of 12/31/2016</v>
      </c>
      <c r="B2" s="73"/>
    </row>
    <row r="3" spans="1:8" ht="15.75">
      <c r="A3" s="205" t="str">
        <f>+LOB</f>
        <v>Liability</v>
      </c>
      <c r="B3" s="73"/>
    </row>
    <row r="4" spans="1:8" ht="15.75">
      <c r="B4" s="73"/>
    </row>
    <row r="5" spans="1:8" ht="15.75">
      <c r="A5" s="73" t="s">
        <v>71</v>
      </c>
      <c r="B5" s="73"/>
    </row>
    <row r="6" spans="1:8" ht="15.75">
      <c r="A6" s="73"/>
      <c r="B6" s="73"/>
    </row>
    <row r="7" spans="1:8" ht="15.75">
      <c r="A7" s="73"/>
      <c r="B7" s="73"/>
    </row>
    <row r="8" spans="1:8" ht="15.75">
      <c r="A8" s="73"/>
      <c r="B8" s="73"/>
    </row>
    <row r="9" spans="1:8" ht="15.75">
      <c r="A9" s="73"/>
      <c r="B9" s="73"/>
    </row>
    <row r="10" spans="1:8" ht="15.75">
      <c r="A10" s="73"/>
    </row>
    <row r="11" spans="1:8" ht="15.75">
      <c r="A11" s="73"/>
      <c r="B11" s="76"/>
      <c r="C11" s="76"/>
      <c r="D11" s="76"/>
      <c r="E11" s="76"/>
      <c r="F11" s="76"/>
      <c r="G11" s="76"/>
      <c r="H11" s="76"/>
    </row>
    <row r="12" spans="1:8" ht="15.75">
      <c r="A12" s="73"/>
      <c r="B12" s="79" t="s">
        <v>45</v>
      </c>
      <c r="C12" s="78" t="s">
        <v>46</v>
      </c>
      <c r="D12" s="79" t="s">
        <v>47</v>
      </c>
      <c r="E12" s="78" t="s">
        <v>48</v>
      </c>
      <c r="F12" s="79" t="s">
        <v>49</v>
      </c>
      <c r="G12" s="79" t="s">
        <v>50</v>
      </c>
      <c r="H12" s="79" t="s">
        <v>51</v>
      </c>
    </row>
    <row r="13" spans="1:8" ht="15.75">
      <c r="A13" s="40"/>
      <c r="B13" s="83"/>
      <c r="C13" s="76"/>
      <c r="D13" s="83"/>
      <c r="E13" s="76" t="s">
        <v>72</v>
      </c>
      <c r="F13" s="83" t="s">
        <v>54</v>
      </c>
      <c r="G13" s="83" t="s">
        <v>54</v>
      </c>
      <c r="H13" s="83" t="s">
        <v>73</v>
      </c>
    </row>
    <row r="14" spans="1:8" ht="15.75">
      <c r="A14" s="46" t="s">
        <v>3</v>
      </c>
      <c r="B14" s="86" t="s">
        <v>143</v>
      </c>
      <c r="C14" s="83" t="s">
        <v>74</v>
      </c>
      <c r="D14" s="83" t="s">
        <v>72</v>
      </c>
      <c r="E14" s="83" t="s">
        <v>55</v>
      </c>
      <c r="F14" s="78" t="s">
        <v>140</v>
      </c>
      <c r="G14" s="83" t="s">
        <v>139</v>
      </c>
      <c r="H14" s="83" t="s">
        <v>75</v>
      </c>
    </row>
    <row r="15" spans="1:8" ht="15.75">
      <c r="A15" s="87" t="s">
        <v>5</v>
      </c>
      <c r="B15" s="87" t="s">
        <v>58</v>
      </c>
      <c r="C15" s="87" t="s">
        <v>76</v>
      </c>
      <c r="D15" s="87" t="s">
        <v>77</v>
      </c>
      <c r="E15" s="87" t="s">
        <v>60</v>
      </c>
      <c r="F15" s="87" t="s">
        <v>72</v>
      </c>
      <c r="G15" s="87" t="s">
        <v>72</v>
      </c>
      <c r="H15" s="79" t="s">
        <v>138</v>
      </c>
    </row>
    <row r="16" spans="1:8">
      <c r="A16" s="89"/>
      <c r="B16" s="110"/>
      <c r="C16" s="90"/>
      <c r="D16" s="90"/>
      <c r="E16" s="91"/>
      <c r="F16" s="90"/>
      <c r="G16" s="90"/>
      <c r="H16" s="92"/>
    </row>
    <row r="17" spans="1:8">
      <c r="A17" s="89">
        <f t="shared" ref="A17:A29" si="0">+A18-1</f>
        <v>2002</v>
      </c>
      <c r="B17" s="94">
        <f>+'Input Data'!C14</f>
        <v>6953372</v>
      </c>
      <c r="C17" s="111">
        <f>+'Exercise 6 -  Report Claim LDFs'!S111</f>
        <v>522</v>
      </c>
      <c r="D17" s="112">
        <f>'[1]Exercise 6 - Rept Claim Ldfs'!P$62</f>
        <v>1</v>
      </c>
      <c r="E17" s="111">
        <f t="shared" ref="E17:E31" si="1">C17*D17</f>
        <v>522</v>
      </c>
      <c r="F17" s="263">
        <f>+F110</f>
        <v>0</v>
      </c>
      <c r="G17" s="263">
        <f>+G110</f>
        <v>0</v>
      </c>
      <c r="H17" s="282">
        <f>+H110</f>
        <v>7.507149049410847</v>
      </c>
    </row>
    <row r="18" spans="1:8">
      <c r="A18" s="89">
        <f t="shared" si="0"/>
        <v>2003</v>
      </c>
      <c r="B18" s="94">
        <f>+'Input Data'!C15</f>
        <v>6567116</v>
      </c>
      <c r="C18" s="111">
        <f>+'Exercise 6 -  Report Claim LDFs'!S112</f>
        <v>528</v>
      </c>
      <c r="D18" s="112">
        <f>'[1]Exercise 6 - Rept Claim Ldfs'!O$62</f>
        <v>1</v>
      </c>
      <c r="E18" s="111">
        <f t="shared" si="1"/>
        <v>528</v>
      </c>
      <c r="F18" s="263">
        <f t="shared" ref="F18:G33" si="2">+F111</f>
        <v>0</v>
      </c>
      <c r="G18" s="263">
        <f t="shared" si="2"/>
        <v>2</v>
      </c>
      <c r="H18" s="282">
        <f t="shared" ref="H18" si="3">+H111</f>
        <v>8.0400589847963708</v>
      </c>
    </row>
    <row r="19" spans="1:8">
      <c r="A19" s="89">
        <f t="shared" si="0"/>
        <v>2004</v>
      </c>
      <c r="B19" s="94">
        <f>+'Input Data'!C16</f>
        <v>6690146</v>
      </c>
      <c r="C19" s="111">
        <f>+'Exercise 6 -  Report Claim LDFs'!S113</f>
        <v>514</v>
      </c>
      <c r="D19" s="112">
        <f>'[1]Exercise 6 - Rept Claim Ldfs'!N$62</f>
        <v>1</v>
      </c>
      <c r="E19" s="111">
        <f t="shared" si="1"/>
        <v>514</v>
      </c>
      <c r="F19" s="263">
        <f t="shared" si="2"/>
        <v>0</v>
      </c>
      <c r="G19" s="263">
        <f t="shared" si="2"/>
        <v>1</v>
      </c>
      <c r="H19" s="282">
        <f t="shared" ref="H19" si="4">+H112</f>
        <v>7.6829414485124836</v>
      </c>
    </row>
    <row r="20" spans="1:8">
      <c r="A20" s="89">
        <f t="shared" si="0"/>
        <v>2005</v>
      </c>
      <c r="B20" s="94">
        <f>+'Input Data'!C17</f>
        <v>7103262.0000000009</v>
      </c>
      <c r="C20" s="111">
        <f>+'Exercise 6 -  Report Claim LDFs'!S114</f>
        <v>530</v>
      </c>
      <c r="D20" s="112">
        <f>'[1]Exercise 6 - Rept Claim Ldfs'!M$62</f>
        <v>1.0006397952655151</v>
      </c>
      <c r="E20" s="111">
        <f t="shared" si="1"/>
        <v>530.33909149072292</v>
      </c>
      <c r="F20" s="263">
        <f t="shared" si="2"/>
        <v>0.33909149072292166</v>
      </c>
      <c r="G20" s="263">
        <f t="shared" si="2"/>
        <v>1.3390914907229217</v>
      </c>
      <c r="H20" s="282">
        <f t="shared" ref="H20" si="5">+H113</f>
        <v>7.4661344533078307</v>
      </c>
    </row>
    <row r="21" spans="1:8">
      <c r="A21" s="89">
        <f t="shared" si="0"/>
        <v>2006</v>
      </c>
      <c r="B21" s="94">
        <f>+'Input Data'!C18</f>
        <v>7959030</v>
      </c>
      <c r="C21" s="111">
        <f>+'Exercise 6 -  Report Claim LDFs'!S115</f>
        <v>562</v>
      </c>
      <c r="D21" s="112">
        <f>'[1]Exercise 6 - Rept Claim Ldfs'!L$62</f>
        <v>1.0006397952655151</v>
      </c>
      <c r="E21" s="111">
        <f t="shared" si="1"/>
        <v>562.35956493921947</v>
      </c>
      <c r="F21" s="263">
        <f t="shared" si="2"/>
        <v>0.35956493921946731</v>
      </c>
      <c r="G21" s="263">
        <f t="shared" si="2"/>
        <v>8.3595649392194673</v>
      </c>
      <c r="H21" s="282">
        <f t="shared" ref="H21" si="6">+H114</f>
        <v>7.0656796737695355</v>
      </c>
    </row>
    <row r="22" spans="1:8">
      <c r="A22" s="89">
        <f t="shared" si="0"/>
        <v>2007</v>
      </c>
      <c r="B22" s="94">
        <f>+'Input Data'!C19</f>
        <v>9363418</v>
      </c>
      <c r="C22" s="111">
        <f>+'Exercise 6 -  Report Claim LDFs'!S116</f>
        <v>434</v>
      </c>
      <c r="D22" s="112">
        <f>'[1]Exercise 6 - Rept Claim Ldfs'!K$62</f>
        <v>1.0010168260851326</v>
      </c>
      <c r="E22" s="111">
        <f t="shared" si="1"/>
        <v>434.44130252094754</v>
      </c>
      <c r="F22" s="263">
        <f t="shared" si="2"/>
        <v>0.44130252094754496</v>
      </c>
      <c r="G22" s="263">
        <f t="shared" si="2"/>
        <v>1.441302520947545</v>
      </c>
      <c r="H22" s="282">
        <f t="shared" ref="H22" si="7">+H115</f>
        <v>4.6397725971535984</v>
      </c>
    </row>
    <row r="23" spans="1:8">
      <c r="A23" s="89">
        <f t="shared" si="0"/>
        <v>2008</v>
      </c>
      <c r="B23" s="94">
        <f>+'Input Data'!C20</f>
        <v>10597562</v>
      </c>
      <c r="C23" s="111">
        <f>+'Exercise 6 -  Report Claim LDFs'!S117</f>
        <v>473</v>
      </c>
      <c r="D23" s="112">
        <f>'[1]Exercise 6 - Rept Claim Ldfs'!J$62</f>
        <v>1.00199026222071</v>
      </c>
      <c r="E23" s="111">
        <f t="shared" si="1"/>
        <v>473.94139403039583</v>
      </c>
      <c r="F23" s="263">
        <f t="shared" si="2"/>
        <v>0.94139403039582703</v>
      </c>
      <c r="G23" s="263">
        <f t="shared" si="2"/>
        <v>0.94139403039582703</v>
      </c>
      <c r="H23" s="282">
        <f t="shared" ref="H23" si="8">+H116</f>
        <v>4.4721738266819839</v>
      </c>
    </row>
    <row r="24" spans="1:8">
      <c r="A24" s="89">
        <f t="shared" si="0"/>
        <v>2009</v>
      </c>
      <c r="B24" s="94">
        <f>+'Input Data'!C21</f>
        <v>11036360</v>
      </c>
      <c r="C24" s="111">
        <f>+'Exercise 6 -  Report Claim LDFs'!S118</f>
        <v>501</v>
      </c>
      <c r="D24" s="112">
        <f>'[1]Exercise 6 - Rept Claim Ldfs'!I$62</f>
        <v>1.0031179946486455</v>
      </c>
      <c r="E24" s="111">
        <f t="shared" si="1"/>
        <v>502.56211531897139</v>
      </c>
      <c r="F24" s="263">
        <f t="shared" si="2"/>
        <v>1.5621153189713937</v>
      </c>
      <c r="G24" s="263">
        <f t="shared" si="2"/>
        <v>5.5621153189713937</v>
      </c>
      <c r="H24" s="282">
        <f t="shared" ref="H24" si="9">+H117</f>
        <v>4.5536944728059918</v>
      </c>
    </row>
    <row r="25" spans="1:8">
      <c r="A25" s="89">
        <f t="shared" si="0"/>
        <v>2010</v>
      </c>
      <c r="B25" s="94">
        <f>+'Input Data'!C22</f>
        <v>11402928</v>
      </c>
      <c r="C25" s="111">
        <f>+'Exercise 6 -  Report Claim LDFs'!S119</f>
        <v>507</v>
      </c>
      <c r="D25" s="112">
        <f>'[1]Exercise 6 - Rept Claim Ldfs'!H$62</f>
        <v>1.0044804218546135</v>
      </c>
      <c r="E25" s="111">
        <f t="shared" si="1"/>
        <v>509.27157388028905</v>
      </c>
      <c r="F25" s="263">
        <f t="shared" si="2"/>
        <v>2.2715738802890542</v>
      </c>
      <c r="G25" s="263">
        <f t="shared" si="2"/>
        <v>9.2715738802890542</v>
      </c>
      <c r="H25" s="282">
        <f t="shared" ref="H25" si="10">+H118</f>
        <v>4.4661474130178584</v>
      </c>
    </row>
    <row r="26" spans="1:8">
      <c r="A26" s="89">
        <f t="shared" si="0"/>
        <v>2011</v>
      </c>
      <c r="B26" s="94">
        <f>+'Input Data'!C23</f>
        <v>11099580</v>
      </c>
      <c r="C26" s="111">
        <f>+'Exercise 6 -  Report Claim LDFs'!S120</f>
        <v>453</v>
      </c>
      <c r="D26" s="112">
        <f>'[1]Exercise 6 - Rept Claim Ldfs'!G$62</f>
        <v>1.0051422075723171</v>
      </c>
      <c r="E26" s="111">
        <f t="shared" si="1"/>
        <v>455.32942003025966</v>
      </c>
      <c r="F26" s="263">
        <f t="shared" si="2"/>
        <v>2.3294200302596551</v>
      </c>
      <c r="G26" s="263">
        <f t="shared" si="2"/>
        <v>10.329420030259655</v>
      </c>
      <c r="H26" s="282">
        <f t="shared" ref="H26" si="11">+H119</f>
        <v>4.1022220663327769</v>
      </c>
    </row>
    <row r="27" spans="1:8">
      <c r="A27" s="89">
        <f t="shared" si="0"/>
        <v>2012</v>
      </c>
      <c r="B27" s="94">
        <f>+'Input Data'!C24</f>
        <v>10683363</v>
      </c>
      <c r="C27" s="111">
        <f>+'Exercise 6 -  Report Claim LDFs'!S121</f>
        <v>495</v>
      </c>
      <c r="D27" s="112">
        <f>'[1]Exercise 6 - Rept Claim Ldfs'!F$62</f>
        <v>1.0062476429135783</v>
      </c>
      <c r="E27" s="111">
        <f t="shared" si="1"/>
        <v>498.09258324222122</v>
      </c>
      <c r="F27" s="263">
        <f t="shared" si="2"/>
        <v>3.0925832422212238</v>
      </c>
      <c r="G27" s="263">
        <f t="shared" si="2"/>
        <v>16.092583242221224</v>
      </c>
      <c r="H27" s="282">
        <f t="shared" ref="H27" si="12">+H120</f>
        <v>4.6623201256216911</v>
      </c>
    </row>
    <row r="28" spans="1:8">
      <c r="A28" s="89">
        <f t="shared" si="0"/>
        <v>2013</v>
      </c>
      <c r="B28" s="94">
        <f>+'Input Data'!C25</f>
        <v>10430225</v>
      </c>
      <c r="C28" s="111">
        <f>+'Exercise 6 -  Report Claim LDFs'!S122</f>
        <v>471</v>
      </c>
      <c r="D28" s="112">
        <f>'[1]Exercise 6 - Rept Claim Ldfs'!E$62</f>
        <v>1.0137177243979518</v>
      </c>
      <c r="E28" s="111">
        <f t="shared" si="1"/>
        <v>477.46104819143528</v>
      </c>
      <c r="F28" s="263">
        <f t="shared" si="2"/>
        <v>6.4610481914352818</v>
      </c>
      <c r="G28" s="263">
        <f t="shared" si="2"/>
        <v>25.461048191435282</v>
      </c>
      <c r="H28" s="282">
        <f t="shared" ref="H28" si="13">+H121</f>
        <v>4.5776677702679978</v>
      </c>
    </row>
    <row r="29" spans="1:8">
      <c r="A29" s="89">
        <f t="shared" si="0"/>
        <v>2014</v>
      </c>
      <c r="B29" s="94">
        <f>+'Input Data'!C26</f>
        <v>10106327</v>
      </c>
      <c r="C29" s="111">
        <f>+'Exercise 6 -  Report Claim LDFs'!S123</f>
        <v>447</v>
      </c>
      <c r="D29" s="112">
        <f>'[1]Exercise 6 - Rept Claim Ldfs'!D$62</f>
        <v>1.026710773928815</v>
      </c>
      <c r="E29" s="111">
        <f t="shared" si="1"/>
        <v>458.93971594618034</v>
      </c>
      <c r="F29" s="263">
        <f t="shared" si="2"/>
        <v>11.939715946180343</v>
      </c>
      <c r="G29" s="263">
        <f t="shared" si="2"/>
        <v>46.939715946180343</v>
      </c>
      <c r="H29" s="282">
        <f t="shared" ref="H29" si="14">+H122</f>
        <v>4.5411128686631681</v>
      </c>
    </row>
    <row r="30" spans="1:8">
      <c r="A30" s="89">
        <f>+A31-1</f>
        <v>2015</v>
      </c>
      <c r="B30" s="94">
        <f>+'Input Data'!C27</f>
        <v>9889744</v>
      </c>
      <c r="C30" s="111">
        <f>+'Exercise 6 -  Report Claim LDFs'!S124</f>
        <v>388</v>
      </c>
      <c r="D30" s="112">
        <f>+'Exercise 6 -  Report Claim LDFs'!C62</f>
        <v>1.0625596138006312</v>
      </c>
      <c r="E30" s="111">
        <f t="shared" si="1"/>
        <v>412.27313015464495</v>
      </c>
      <c r="F30" s="263">
        <f t="shared" si="2"/>
        <v>24.273130154644946</v>
      </c>
      <c r="G30" s="263">
        <f t="shared" si="2"/>
        <v>62.273130154644946</v>
      </c>
      <c r="H30" s="282">
        <f t="shared" ref="H30" si="15">+H123</f>
        <v>4.1686936502567198</v>
      </c>
    </row>
    <row r="31" spans="1:8">
      <c r="A31" s="89">
        <f>+EndYear</f>
        <v>2016</v>
      </c>
      <c r="B31" s="94">
        <f>+'Input Data'!C28</f>
        <v>9998035.5</v>
      </c>
      <c r="C31" s="111">
        <f>+'Exercise 6 -  Report Claim LDFs'!S125</f>
        <v>305</v>
      </c>
      <c r="D31" s="112">
        <f>+'Exercise 6 -  Report Claim LDFs'!B62</f>
        <v>1.2839964423229653</v>
      </c>
      <c r="E31" s="111">
        <f t="shared" si="1"/>
        <v>391.61891490850439</v>
      </c>
      <c r="F31" s="263">
        <f t="shared" si="2"/>
        <v>86.618914908504394</v>
      </c>
      <c r="G31" s="263">
        <f t="shared" si="2"/>
        <v>173.61891490850439</v>
      </c>
      <c r="H31" s="282">
        <f t="shared" ref="H31:H33" si="16">+H124</f>
        <v>3.9169586356090091</v>
      </c>
    </row>
    <row r="32" spans="1:8">
      <c r="A32" s="89"/>
      <c r="B32" s="114"/>
      <c r="C32" s="95"/>
      <c r="D32" s="91"/>
      <c r="E32" s="95"/>
      <c r="F32" s="171"/>
      <c r="G32" s="171"/>
      <c r="H32" s="283"/>
    </row>
    <row r="33" spans="1:8">
      <c r="A33" s="97" t="s">
        <v>63</v>
      </c>
      <c r="B33" s="98">
        <f>SUM(B16:B32)</f>
        <v>139880468.5</v>
      </c>
      <c r="C33" s="98">
        <f>SUM(C16:C32)</f>
        <v>7130</v>
      </c>
      <c r="D33" s="99"/>
      <c r="E33" s="98">
        <f>SUM(E16:E32)</f>
        <v>7270.629854653791</v>
      </c>
      <c r="F33" s="221">
        <f t="shared" si="2"/>
        <v>140.62985465379205</v>
      </c>
      <c r="G33" s="221">
        <f t="shared" si="2"/>
        <v>364.62985465379205</v>
      </c>
      <c r="H33" s="284">
        <f t="shared" si="16"/>
        <v>5.1977448550322736</v>
      </c>
    </row>
    <row r="35" spans="1:8" ht="15.75">
      <c r="A35" s="100"/>
      <c r="B35" s="100"/>
    </row>
    <row r="36" spans="1:8" ht="15.75">
      <c r="A36" s="101"/>
      <c r="B36" s="101"/>
    </row>
    <row r="110" spans="1:8" ht="15">
      <c r="A110" s="247">
        <f>+'Exercise 6 -  Report Claim LDFs'!R111</f>
        <v>180</v>
      </c>
      <c r="B110" s="173">
        <f>+B17</f>
        <v>6953372</v>
      </c>
      <c r="C110" s="247">
        <f>+'Exercise 6 -  Report Claim LDFs'!S111</f>
        <v>522</v>
      </c>
      <c r="D110" s="249">
        <f>+'Exercise 6 -  Report Claim LDFs'!T111</f>
        <v>1</v>
      </c>
      <c r="E110" s="109">
        <f>+C110*D110</f>
        <v>522</v>
      </c>
      <c r="F110" s="103">
        <f>+E110-C110</f>
        <v>0</v>
      </c>
      <c r="G110" s="103">
        <f>+E110-'Closed Claim Dev'!C17</f>
        <v>0</v>
      </c>
      <c r="H110" s="281">
        <f>+E110/(B110/100000)</f>
        <v>7.507149049410847</v>
      </c>
    </row>
    <row r="111" spans="1:8" ht="15">
      <c r="A111" s="247">
        <f>+'Exercise 6 -  Report Claim LDFs'!R112</f>
        <v>168</v>
      </c>
      <c r="B111" s="173">
        <f t="shared" ref="B111:B124" si="17">+B18</f>
        <v>6567116</v>
      </c>
      <c r="C111" s="247">
        <f>+'Exercise 6 -  Report Claim LDFs'!S112</f>
        <v>528</v>
      </c>
      <c r="D111" s="249">
        <f>+'Exercise 6 -  Report Claim LDFs'!T112</f>
        <v>1</v>
      </c>
      <c r="E111" s="109">
        <f t="shared" ref="E111:E124" si="18">+C111*D111</f>
        <v>528</v>
      </c>
      <c r="F111" s="103">
        <f t="shared" ref="F111:F124" si="19">+E111-C111</f>
        <v>0</v>
      </c>
      <c r="G111" s="103">
        <f>+E111-'Closed Claim Dev'!C18</f>
        <v>2</v>
      </c>
      <c r="H111" s="281">
        <f t="shared" ref="H111:H126" si="20">+E111/(B111/100000)</f>
        <v>8.0400589847963708</v>
      </c>
    </row>
    <row r="112" spans="1:8" ht="15">
      <c r="A112" s="247">
        <f>+'Exercise 6 -  Report Claim LDFs'!R113</f>
        <v>156</v>
      </c>
      <c r="B112" s="173">
        <f t="shared" si="17"/>
        <v>6690146</v>
      </c>
      <c r="C112" s="247">
        <f>+'Exercise 6 -  Report Claim LDFs'!S113</f>
        <v>514</v>
      </c>
      <c r="D112" s="249">
        <f>+'Exercise 6 -  Report Claim LDFs'!T113</f>
        <v>1</v>
      </c>
      <c r="E112" s="109">
        <f t="shared" si="18"/>
        <v>514</v>
      </c>
      <c r="F112" s="103">
        <f t="shared" si="19"/>
        <v>0</v>
      </c>
      <c r="G112" s="103">
        <f>+E112-'Closed Claim Dev'!C19</f>
        <v>1</v>
      </c>
      <c r="H112" s="281">
        <f t="shared" si="20"/>
        <v>7.6829414485124836</v>
      </c>
    </row>
    <row r="113" spans="1:8" ht="15">
      <c r="A113" s="247">
        <f>+'Exercise 6 -  Report Claim LDFs'!R114</f>
        <v>144</v>
      </c>
      <c r="B113" s="173">
        <f t="shared" si="17"/>
        <v>7103262.0000000009</v>
      </c>
      <c r="C113" s="247">
        <f>+'Exercise 6 -  Report Claim LDFs'!S114</f>
        <v>530</v>
      </c>
      <c r="D113" s="249">
        <f>+'Exercise 6 -  Report Claim LDFs'!T114</f>
        <v>1.0006397952655151</v>
      </c>
      <c r="E113" s="109">
        <f t="shared" si="18"/>
        <v>530.33909149072292</v>
      </c>
      <c r="F113" s="103">
        <f t="shared" si="19"/>
        <v>0.33909149072292166</v>
      </c>
      <c r="G113" s="103">
        <f>+E113-'Closed Claim Dev'!C20</f>
        <v>1.3390914907229217</v>
      </c>
      <c r="H113" s="281">
        <f t="shared" si="20"/>
        <v>7.4661344533078307</v>
      </c>
    </row>
    <row r="114" spans="1:8" ht="15">
      <c r="A114" s="247">
        <f>+'Exercise 6 -  Report Claim LDFs'!R115</f>
        <v>132</v>
      </c>
      <c r="B114" s="173">
        <f t="shared" si="17"/>
        <v>7959030</v>
      </c>
      <c r="C114" s="247">
        <f>+'Exercise 6 -  Report Claim LDFs'!S115</f>
        <v>562</v>
      </c>
      <c r="D114" s="249">
        <f>+'Exercise 6 -  Report Claim LDFs'!T115</f>
        <v>1.0006397952655151</v>
      </c>
      <c r="E114" s="109">
        <f t="shared" si="18"/>
        <v>562.35956493921947</v>
      </c>
      <c r="F114" s="103">
        <f t="shared" si="19"/>
        <v>0.35956493921946731</v>
      </c>
      <c r="G114" s="103">
        <f>+E114-'Closed Claim Dev'!C21</f>
        <v>8.3595649392194673</v>
      </c>
      <c r="H114" s="281">
        <f t="shared" si="20"/>
        <v>7.0656796737695355</v>
      </c>
    </row>
    <row r="115" spans="1:8" ht="15">
      <c r="A115" s="247">
        <f>+'Exercise 6 -  Report Claim LDFs'!R116</f>
        <v>120</v>
      </c>
      <c r="B115" s="173">
        <f t="shared" si="17"/>
        <v>9363418</v>
      </c>
      <c r="C115" s="247">
        <f>+'Exercise 6 -  Report Claim LDFs'!S116</f>
        <v>434</v>
      </c>
      <c r="D115" s="249">
        <f>+'Exercise 6 -  Report Claim LDFs'!T116</f>
        <v>1.0010168260851326</v>
      </c>
      <c r="E115" s="109">
        <f t="shared" si="18"/>
        <v>434.44130252094754</v>
      </c>
      <c r="F115" s="103">
        <f t="shared" si="19"/>
        <v>0.44130252094754496</v>
      </c>
      <c r="G115" s="103">
        <f>+E115-'Closed Claim Dev'!C22</f>
        <v>1.441302520947545</v>
      </c>
      <c r="H115" s="281">
        <f t="shared" si="20"/>
        <v>4.6397725971535984</v>
      </c>
    </row>
    <row r="116" spans="1:8" ht="15">
      <c r="A116" s="247">
        <f>+'Exercise 6 -  Report Claim LDFs'!R117</f>
        <v>108</v>
      </c>
      <c r="B116" s="173">
        <f t="shared" si="17"/>
        <v>10597562</v>
      </c>
      <c r="C116" s="247">
        <f>+'Exercise 6 -  Report Claim LDFs'!S117</f>
        <v>473</v>
      </c>
      <c r="D116" s="249">
        <f>+'Exercise 6 -  Report Claim LDFs'!T117</f>
        <v>1.00199026222071</v>
      </c>
      <c r="E116" s="109">
        <f t="shared" si="18"/>
        <v>473.94139403039583</v>
      </c>
      <c r="F116" s="103">
        <f t="shared" si="19"/>
        <v>0.94139403039582703</v>
      </c>
      <c r="G116" s="103">
        <f>+E116-'Closed Claim Dev'!C23</f>
        <v>0.94139403039582703</v>
      </c>
      <c r="H116" s="281">
        <f t="shared" si="20"/>
        <v>4.4721738266819839</v>
      </c>
    </row>
    <row r="117" spans="1:8" ht="15">
      <c r="A117" s="247">
        <f>+'Exercise 6 -  Report Claim LDFs'!R118</f>
        <v>96</v>
      </c>
      <c r="B117" s="173">
        <f t="shared" si="17"/>
        <v>11036360</v>
      </c>
      <c r="C117" s="247">
        <f>+'Exercise 6 -  Report Claim LDFs'!S118</f>
        <v>501</v>
      </c>
      <c r="D117" s="249">
        <f>+'Exercise 6 -  Report Claim LDFs'!T118</f>
        <v>1.0031179946486455</v>
      </c>
      <c r="E117" s="109">
        <f t="shared" si="18"/>
        <v>502.56211531897139</v>
      </c>
      <c r="F117" s="103">
        <f t="shared" si="19"/>
        <v>1.5621153189713937</v>
      </c>
      <c r="G117" s="103">
        <f>+E117-'Closed Claim Dev'!C24</f>
        <v>5.5621153189713937</v>
      </c>
      <c r="H117" s="281">
        <f t="shared" si="20"/>
        <v>4.5536944728059918</v>
      </c>
    </row>
    <row r="118" spans="1:8" ht="15">
      <c r="A118" s="247">
        <f>+'Exercise 6 -  Report Claim LDFs'!R119</f>
        <v>84</v>
      </c>
      <c r="B118" s="173">
        <f t="shared" si="17"/>
        <v>11402928</v>
      </c>
      <c r="C118" s="247">
        <f>+'Exercise 6 -  Report Claim LDFs'!S119</f>
        <v>507</v>
      </c>
      <c r="D118" s="249">
        <f>+'Exercise 6 -  Report Claim LDFs'!T119</f>
        <v>1.0044804218546135</v>
      </c>
      <c r="E118" s="109">
        <f t="shared" si="18"/>
        <v>509.27157388028905</v>
      </c>
      <c r="F118" s="103">
        <f t="shared" si="19"/>
        <v>2.2715738802890542</v>
      </c>
      <c r="G118" s="103">
        <f>+E118-'Closed Claim Dev'!C25</f>
        <v>9.2715738802890542</v>
      </c>
      <c r="H118" s="281">
        <f t="shared" si="20"/>
        <v>4.4661474130178584</v>
      </c>
    </row>
    <row r="119" spans="1:8" ht="15">
      <c r="A119" s="247">
        <f>+'Exercise 6 -  Report Claim LDFs'!R120</f>
        <v>72</v>
      </c>
      <c r="B119" s="173">
        <f t="shared" si="17"/>
        <v>11099580</v>
      </c>
      <c r="C119" s="247">
        <f>+'Exercise 6 -  Report Claim LDFs'!S120</f>
        <v>453</v>
      </c>
      <c r="D119" s="249">
        <f>+'Exercise 6 -  Report Claim LDFs'!T120</f>
        <v>1.0051422075723171</v>
      </c>
      <c r="E119" s="109">
        <f t="shared" si="18"/>
        <v>455.32942003025966</v>
      </c>
      <c r="F119" s="103">
        <f t="shared" si="19"/>
        <v>2.3294200302596551</v>
      </c>
      <c r="G119" s="103">
        <f>+E119-'Closed Claim Dev'!C26</f>
        <v>10.329420030259655</v>
      </c>
      <c r="H119" s="281">
        <f t="shared" si="20"/>
        <v>4.1022220663327769</v>
      </c>
    </row>
    <row r="120" spans="1:8" ht="15">
      <c r="A120" s="247">
        <f>+'Exercise 6 -  Report Claim LDFs'!R121</f>
        <v>60</v>
      </c>
      <c r="B120" s="173">
        <f t="shared" si="17"/>
        <v>10683363</v>
      </c>
      <c r="C120" s="247">
        <f>+'Exercise 6 -  Report Claim LDFs'!S121</f>
        <v>495</v>
      </c>
      <c r="D120" s="249">
        <f>+'Exercise 6 -  Report Claim LDFs'!T121</f>
        <v>1.0062476429135783</v>
      </c>
      <c r="E120" s="109">
        <f t="shared" si="18"/>
        <v>498.09258324222122</v>
      </c>
      <c r="F120" s="103">
        <f t="shared" si="19"/>
        <v>3.0925832422212238</v>
      </c>
      <c r="G120" s="103">
        <f>+E120-'Closed Claim Dev'!C27</f>
        <v>16.092583242221224</v>
      </c>
      <c r="H120" s="281">
        <f t="shared" si="20"/>
        <v>4.6623201256216911</v>
      </c>
    </row>
    <row r="121" spans="1:8" ht="15">
      <c r="A121" s="247">
        <f>+'Exercise 6 -  Report Claim LDFs'!R122</f>
        <v>48</v>
      </c>
      <c r="B121" s="173">
        <f t="shared" si="17"/>
        <v>10430225</v>
      </c>
      <c r="C121" s="247">
        <f>+'Exercise 6 -  Report Claim LDFs'!S122</f>
        <v>471</v>
      </c>
      <c r="D121" s="249">
        <f>+'Exercise 6 -  Report Claim LDFs'!T122</f>
        <v>1.0137177243979518</v>
      </c>
      <c r="E121" s="109">
        <f t="shared" si="18"/>
        <v>477.46104819143528</v>
      </c>
      <c r="F121" s="103">
        <f t="shared" si="19"/>
        <v>6.4610481914352818</v>
      </c>
      <c r="G121" s="103">
        <f>+E121-'Closed Claim Dev'!C28</f>
        <v>25.461048191435282</v>
      </c>
      <c r="H121" s="281">
        <f t="shared" si="20"/>
        <v>4.5776677702679978</v>
      </c>
    </row>
    <row r="122" spans="1:8" ht="15">
      <c r="A122" s="247">
        <f>+'Exercise 6 -  Report Claim LDFs'!R123</f>
        <v>36</v>
      </c>
      <c r="B122" s="173">
        <f t="shared" si="17"/>
        <v>10106327</v>
      </c>
      <c r="C122" s="247">
        <f>+'Exercise 6 -  Report Claim LDFs'!S123</f>
        <v>447</v>
      </c>
      <c r="D122" s="249">
        <f>+'Exercise 6 -  Report Claim LDFs'!T123</f>
        <v>1.026710773928815</v>
      </c>
      <c r="E122" s="109">
        <f t="shared" si="18"/>
        <v>458.93971594618034</v>
      </c>
      <c r="F122" s="103">
        <f t="shared" si="19"/>
        <v>11.939715946180343</v>
      </c>
      <c r="G122" s="103">
        <f>+E122-'Closed Claim Dev'!C29</f>
        <v>46.939715946180343</v>
      </c>
      <c r="H122" s="281">
        <f t="shared" si="20"/>
        <v>4.5411128686631681</v>
      </c>
    </row>
    <row r="123" spans="1:8" ht="15">
      <c r="A123" s="247">
        <f>+'Exercise 6 -  Report Claim LDFs'!R124</f>
        <v>24</v>
      </c>
      <c r="B123" s="173">
        <f t="shared" si="17"/>
        <v>9889744</v>
      </c>
      <c r="C123" s="247">
        <f>+'Exercise 6 -  Report Claim LDFs'!S124</f>
        <v>388</v>
      </c>
      <c r="D123" s="249">
        <f>+'Exercise 6 -  Report Claim LDFs'!T124</f>
        <v>1.0625596138006312</v>
      </c>
      <c r="E123" s="109">
        <f t="shared" si="18"/>
        <v>412.27313015464495</v>
      </c>
      <c r="F123" s="103">
        <f t="shared" si="19"/>
        <v>24.273130154644946</v>
      </c>
      <c r="G123" s="103">
        <f>+E123-'Closed Claim Dev'!C30</f>
        <v>62.273130154644946</v>
      </c>
      <c r="H123" s="281">
        <f t="shared" si="20"/>
        <v>4.1686936502567198</v>
      </c>
    </row>
    <row r="124" spans="1:8" ht="15">
      <c r="A124" s="247">
        <f>+'Exercise 6 -  Report Claim LDFs'!R125</f>
        <v>12</v>
      </c>
      <c r="B124" s="173">
        <f t="shared" si="17"/>
        <v>9998035.5</v>
      </c>
      <c r="C124" s="247">
        <f>+'Exercise 6 -  Report Claim LDFs'!S125</f>
        <v>305</v>
      </c>
      <c r="D124" s="249">
        <f>+'Exercise 6 -  Report Claim LDFs'!T125</f>
        <v>1.2839964423229653</v>
      </c>
      <c r="E124" s="109">
        <f t="shared" si="18"/>
        <v>391.61891490850439</v>
      </c>
      <c r="F124" s="103">
        <f t="shared" si="19"/>
        <v>86.618914908504394</v>
      </c>
      <c r="G124" s="103">
        <f>+E124-'Closed Claim Dev'!C31</f>
        <v>173.61891490850439</v>
      </c>
      <c r="H124" s="281">
        <f t="shared" si="20"/>
        <v>3.9169586356090091</v>
      </c>
    </row>
    <row r="126" spans="1:8">
      <c r="B126" s="109">
        <f>SUM(B110:B125)</f>
        <v>139880468.5</v>
      </c>
      <c r="C126" s="109">
        <f>SUM(C110:C125)</f>
        <v>7130</v>
      </c>
      <c r="E126" s="109">
        <f>SUM(E110:E125)</f>
        <v>7270.629854653791</v>
      </c>
      <c r="F126" s="109">
        <f>SUM(F110:F125)</f>
        <v>140.62985465379205</v>
      </c>
      <c r="G126" s="109">
        <f>SUM(G110:G125)</f>
        <v>364.62985465379205</v>
      </c>
      <c r="H126" s="281">
        <f t="shared" si="20"/>
        <v>5.1977448550322736</v>
      </c>
    </row>
  </sheetData>
  <conditionalFormatting sqref="F17:F31">
    <cfRule type="cellIs" dxfId="62" priority="8" operator="notEqual">
      <formula>$F110</formula>
    </cfRule>
  </conditionalFormatting>
  <conditionalFormatting sqref="F33">
    <cfRule type="cellIs" dxfId="61" priority="7" operator="notEqual">
      <formula>$F126</formula>
    </cfRule>
  </conditionalFormatting>
  <conditionalFormatting sqref="G17:G31">
    <cfRule type="cellIs" dxfId="60" priority="6" operator="notEqual">
      <formula>$G110</formula>
    </cfRule>
  </conditionalFormatting>
  <conditionalFormatting sqref="G33">
    <cfRule type="cellIs" dxfId="59" priority="4" operator="notEqual">
      <formula>$G126</formula>
    </cfRule>
  </conditionalFormatting>
  <conditionalFormatting sqref="H17:H31">
    <cfRule type="cellIs" dxfId="58" priority="3" operator="notEqual">
      <formula>$H110</formula>
    </cfRule>
  </conditionalFormatting>
  <pageMargins left="0.7" right="0.7" top="0.75" bottom="0.75" header="0.3" footer="0.3"/>
  <ignoredErrors>
    <ignoredError sqref="B12:H12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126"/>
  <sheetViews>
    <sheetView workbookViewId="0"/>
  </sheetViews>
  <sheetFormatPr defaultRowHeight="12.75"/>
  <cols>
    <col min="1" max="1" width="13.42578125" customWidth="1"/>
    <col min="2" max="2" width="17.85546875" customWidth="1"/>
    <col min="3" max="3" width="16.7109375" customWidth="1"/>
    <col min="4" max="4" width="12.28515625" customWidth="1"/>
    <col min="5" max="5" width="18.7109375" customWidth="1"/>
    <col min="6" max="6" width="17.28515625" customWidth="1"/>
    <col min="7" max="7" width="16.42578125" customWidth="1"/>
  </cols>
  <sheetData>
    <row r="1" spans="1:7" ht="15.75">
      <c r="A1" s="203" t="s">
        <v>0</v>
      </c>
      <c r="B1" s="73"/>
    </row>
    <row r="2" spans="1:7" ht="15.75">
      <c r="A2" s="204" t="str">
        <f>+"Analysis of Loss &amp; DCC Reserves as of "&amp;TEXT(EvalDate,"mm/dd/yyy")</f>
        <v>Analysis of Loss &amp; DCC Reserves as of 12/31/2016</v>
      </c>
      <c r="B2" s="73"/>
    </row>
    <row r="3" spans="1:7" ht="15.75">
      <c r="A3" s="205" t="str">
        <f>+LOB</f>
        <v>Liability</v>
      </c>
      <c r="B3" s="73"/>
    </row>
    <row r="4" spans="1:7" ht="15.75">
      <c r="B4" s="73"/>
    </row>
    <row r="5" spans="1:7" ht="15.75">
      <c r="A5" s="73" t="s">
        <v>78</v>
      </c>
      <c r="B5" s="73"/>
    </row>
    <row r="6" spans="1:7" ht="15.75">
      <c r="A6" s="73"/>
      <c r="B6" s="73"/>
    </row>
    <row r="7" spans="1:7" ht="15.75">
      <c r="A7" s="73"/>
      <c r="B7" s="73"/>
    </row>
    <row r="8" spans="1:7" ht="15.75">
      <c r="A8" s="73"/>
      <c r="B8" s="73"/>
    </row>
    <row r="9" spans="1:7" ht="15.75">
      <c r="A9" s="73"/>
      <c r="B9" s="73"/>
    </row>
    <row r="10" spans="1:7" ht="15.75">
      <c r="A10" s="73"/>
    </row>
    <row r="11" spans="1:7" ht="15.75">
      <c r="A11" s="73"/>
      <c r="B11" s="76"/>
      <c r="C11" s="76"/>
      <c r="D11" s="76"/>
      <c r="E11" s="76"/>
      <c r="F11" s="76"/>
      <c r="G11" s="76"/>
    </row>
    <row r="12" spans="1:7" ht="15.75">
      <c r="A12" s="73"/>
      <c r="B12" s="79" t="s">
        <v>45</v>
      </c>
      <c r="C12" s="78" t="s">
        <v>46</v>
      </c>
      <c r="D12" s="79" t="s">
        <v>47</v>
      </c>
      <c r="E12" s="78" t="s">
        <v>48</v>
      </c>
      <c r="F12" s="79" t="s">
        <v>49</v>
      </c>
      <c r="G12" s="79" t="s">
        <v>50</v>
      </c>
    </row>
    <row r="13" spans="1:7" ht="15.75">
      <c r="A13" s="40"/>
      <c r="B13" s="83"/>
      <c r="C13" s="76"/>
      <c r="D13" s="83"/>
      <c r="E13" s="76" t="s">
        <v>72</v>
      </c>
      <c r="F13" s="83" t="s">
        <v>54</v>
      </c>
      <c r="G13" s="83" t="s">
        <v>73</v>
      </c>
    </row>
    <row r="14" spans="1:7" ht="15.75">
      <c r="A14" s="46" t="s">
        <v>3</v>
      </c>
      <c r="B14" s="86" t="s">
        <v>143</v>
      </c>
      <c r="C14" s="83" t="s">
        <v>79</v>
      </c>
      <c r="D14" s="83" t="s">
        <v>72</v>
      </c>
      <c r="E14" s="83" t="s">
        <v>55</v>
      </c>
      <c r="F14" s="78" t="s">
        <v>139</v>
      </c>
      <c r="G14" s="83" t="s">
        <v>75</v>
      </c>
    </row>
    <row r="15" spans="1:7" ht="15.75">
      <c r="A15" s="87" t="s">
        <v>5</v>
      </c>
      <c r="B15" s="87" t="s">
        <v>58</v>
      </c>
      <c r="C15" s="87" t="s">
        <v>76</v>
      </c>
      <c r="D15" s="87" t="s">
        <v>77</v>
      </c>
      <c r="E15" s="87" t="s">
        <v>60</v>
      </c>
      <c r="F15" s="87" t="s">
        <v>72</v>
      </c>
      <c r="G15" s="79" t="s">
        <v>138</v>
      </c>
    </row>
    <row r="16" spans="1:7">
      <c r="A16" s="89"/>
      <c r="B16" s="110"/>
      <c r="C16" s="90"/>
      <c r="D16" s="90"/>
      <c r="E16" s="91"/>
      <c r="F16" s="90"/>
      <c r="G16" s="92"/>
    </row>
    <row r="17" spans="1:7" ht="15.75">
      <c r="A17" s="89">
        <f t="shared" ref="A17:A29" si="0">+A18-1</f>
        <v>2002</v>
      </c>
      <c r="B17" s="94">
        <f>+'Input Data'!C14</f>
        <v>6953372</v>
      </c>
      <c r="C17" s="111">
        <f>+'[1]Exercise 6 - Closed Claim Ldfs'!P13</f>
        <v>522</v>
      </c>
      <c r="D17" s="112">
        <f>+'Excercise 6 - Closed Claim LDFs'!P62</f>
        <v>1</v>
      </c>
      <c r="E17" s="111">
        <f t="shared" ref="E17:E31" si="1">C17*D17</f>
        <v>522</v>
      </c>
      <c r="F17" s="263">
        <f>+F110</f>
        <v>0</v>
      </c>
      <c r="G17" s="113">
        <f t="shared" ref="G17:G31" si="2">E17/(B17/100000)</f>
        <v>7.507149049410847</v>
      </c>
    </row>
    <row r="18" spans="1:7" ht="15.75">
      <c r="A18" s="89">
        <f t="shared" si="0"/>
        <v>2003</v>
      </c>
      <c r="B18" s="94">
        <f>+'Input Data'!C15</f>
        <v>6567116</v>
      </c>
      <c r="C18" s="111">
        <f>'[1]Exercise 6 - Closed Claim Ldfs'!O14</f>
        <v>526</v>
      </c>
      <c r="D18" s="112">
        <f>+'Excercise 6 - Closed Claim LDFs'!O62</f>
        <v>1</v>
      </c>
      <c r="E18" s="111">
        <f t="shared" si="1"/>
        <v>526</v>
      </c>
      <c r="F18" s="263">
        <f t="shared" ref="F18:F31" si="3">+F111</f>
        <v>0</v>
      </c>
      <c r="G18" s="113">
        <f t="shared" si="2"/>
        <v>8.0096042159145657</v>
      </c>
    </row>
    <row r="19" spans="1:7" ht="15.75">
      <c r="A19" s="89">
        <f t="shared" si="0"/>
        <v>2004</v>
      </c>
      <c r="B19" s="94">
        <f>+'Input Data'!C16</f>
        <v>6690146</v>
      </c>
      <c r="C19" s="111">
        <f>'[1]Exercise 6 - Closed Claim Ldfs'!N15</f>
        <v>513</v>
      </c>
      <c r="D19" s="112">
        <f>+'Excercise 6 - Closed Claim LDFs'!N62</f>
        <v>1.0009551098376313</v>
      </c>
      <c r="E19" s="111">
        <f t="shared" si="1"/>
        <v>513.48997134670481</v>
      </c>
      <c r="F19" s="263">
        <f t="shared" si="3"/>
        <v>0.48997134670480591</v>
      </c>
      <c r="G19" s="113">
        <f t="shared" si="2"/>
        <v>7.6753178682005565</v>
      </c>
    </row>
    <row r="20" spans="1:7" ht="15.75">
      <c r="A20" s="89">
        <f t="shared" si="0"/>
        <v>2005</v>
      </c>
      <c r="B20" s="94">
        <f>+'Input Data'!C17</f>
        <v>7103262.0000000009</v>
      </c>
      <c r="C20" s="111">
        <f>'[1]Exercise 6 - Closed Claim Ldfs'!M16</f>
        <v>529</v>
      </c>
      <c r="D20" s="112">
        <f>+'Excercise 6 - Closed Claim LDFs'!M62</f>
        <v>1.0015971592987201</v>
      </c>
      <c r="E20" s="111">
        <f t="shared" si="1"/>
        <v>529.84489726902291</v>
      </c>
      <c r="F20" s="263">
        <f t="shared" si="3"/>
        <v>0.8448972690229084</v>
      </c>
      <c r="G20" s="113">
        <f t="shared" si="2"/>
        <v>7.4591771677438174</v>
      </c>
    </row>
    <row r="21" spans="1:7" ht="15.75">
      <c r="A21" s="89">
        <f t="shared" si="0"/>
        <v>2006</v>
      </c>
      <c r="B21" s="94">
        <f>+'Input Data'!C18</f>
        <v>7959030</v>
      </c>
      <c r="C21" s="111">
        <f>'[1]Exercise 6 - Closed Claim Ldfs'!L17</f>
        <v>554</v>
      </c>
      <c r="D21" s="112">
        <f>+'Excercise 6 - Closed Claim LDFs'!L62</f>
        <v>1.0022371574835756</v>
      </c>
      <c r="E21" s="111">
        <f t="shared" si="1"/>
        <v>555.23938524590085</v>
      </c>
      <c r="F21" s="263">
        <f t="shared" si="3"/>
        <v>1.2393852459008485</v>
      </c>
      <c r="G21" s="113">
        <f t="shared" si="2"/>
        <v>6.9762192785540558</v>
      </c>
    </row>
    <row r="22" spans="1:7" ht="15.75">
      <c r="A22" s="89">
        <f t="shared" si="0"/>
        <v>2007</v>
      </c>
      <c r="B22" s="94">
        <f>+'Input Data'!C19</f>
        <v>9363418</v>
      </c>
      <c r="C22" s="111">
        <f>'[1]Exercise 6 - Closed Claim Ldfs'!K18</f>
        <v>433</v>
      </c>
      <c r="D22" s="112">
        <f>+'Excercise 6 - Closed Claim LDFs'!K62</f>
        <v>1.0046466862691237</v>
      </c>
      <c r="E22" s="111">
        <f t="shared" si="1"/>
        <v>435.01201515453056</v>
      </c>
      <c r="F22" s="263">
        <f t="shared" si="3"/>
        <v>2.0120151545305589</v>
      </c>
      <c r="G22" s="113">
        <f t="shared" si="2"/>
        <v>4.6458677285851229</v>
      </c>
    </row>
    <row r="23" spans="1:7" ht="15.75">
      <c r="A23" s="89">
        <f t="shared" si="0"/>
        <v>2008</v>
      </c>
      <c r="B23" s="94">
        <f>+'Input Data'!C20</f>
        <v>10597562</v>
      </c>
      <c r="C23" s="111">
        <f>'[1]Exercise 6 - Closed Claim Ldfs'!J19</f>
        <v>473</v>
      </c>
      <c r="D23" s="112">
        <f>+'Excercise 6 - Closed Claim LDFs'!J62</f>
        <v>1.0042101680478468</v>
      </c>
      <c r="E23" s="111">
        <f t="shared" si="1"/>
        <v>474.99140948663154</v>
      </c>
      <c r="F23" s="263">
        <f t="shared" si="3"/>
        <v>1.9914094866315395</v>
      </c>
      <c r="G23" s="113">
        <f t="shared" si="2"/>
        <v>4.4820819117324486</v>
      </c>
    </row>
    <row r="24" spans="1:7" ht="15.75">
      <c r="A24" s="89">
        <f t="shared" si="0"/>
        <v>2009</v>
      </c>
      <c r="B24" s="94">
        <f>+'Input Data'!C21</f>
        <v>11036360</v>
      </c>
      <c r="C24" s="111">
        <f>'[1]Exercise 6 - Closed Claim Ldfs'!I20</f>
        <v>497</v>
      </c>
      <c r="D24" s="112">
        <f>+'Excercise 6 - Closed Claim LDFs'!I62</f>
        <v>1.0054403538926096</v>
      </c>
      <c r="E24" s="111">
        <f t="shared" si="1"/>
        <v>499.70385588462693</v>
      </c>
      <c r="F24" s="263">
        <f t="shared" si="3"/>
        <v>2.7038558846269325</v>
      </c>
      <c r="G24" s="113">
        <f t="shared" si="2"/>
        <v>4.5277959026764885</v>
      </c>
    </row>
    <row r="25" spans="1:7" ht="15.75">
      <c r="A25" s="89">
        <f t="shared" si="0"/>
        <v>2010</v>
      </c>
      <c r="B25" s="94">
        <f>+'Input Data'!C22</f>
        <v>11402928</v>
      </c>
      <c r="C25" s="111">
        <f>'[1]Exercise 6 - Closed Claim Ldfs'!H21</f>
        <v>500</v>
      </c>
      <c r="D25" s="112">
        <f>+'Excercise 6 - Closed Claim LDFs'!H62</f>
        <v>1.0108692974881421</v>
      </c>
      <c r="E25" s="111">
        <f t="shared" si="1"/>
        <v>505.43464874407107</v>
      </c>
      <c r="F25" s="263">
        <f t="shared" si="3"/>
        <v>5.4346487440710689</v>
      </c>
      <c r="G25" s="113">
        <f t="shared" si="2"/>
        <v>4.4324988173570077</v>
      </c>
    </row>
    <row r="26" spans="1:7" ht="15.75">
      <c r="A26" s="89">
        <f t="shared" si="0"/>
        <v>2011</v>
      </c>
      <c r="B26" s="94">
        <f>+'Input Data'!C23</f>
        <v>11099580</v>
      </c>
      <c r="C26" s="111">
        <f>'[1]Exercise 6 - Closed Claim Ldfs'!G22</f>
        <v>445</v>
      </c>
      <c r="D26" s="112">
        <f>+'Excercise 6 - Closed Claim LDFs'!G62</f>
        <v>1.0160478542872127</v>
      </c>
      <c r="E26" s="111">
        <f t="shared" si="1"/>
        <v>452.14129515780962</v>
      </c>
      <c r="F26" s="263">
        <f t="shared" si="3"/>
        <v>7.1412951578096227</v>
      </c>
      <c r="G26" s="113">
        <f t="shared" si="2"/>
        <v>4.0734991338213664</v>
      </c>
    </row>
    <row r="27" spans="1:7" ht="15.75">
      <c r="A27" s="89">
        <f t="shared" si="0"/>
        <v>2012</v>
      </c>
      <c r="B27" s="94">
        <f>+'Input Data'!C24</f>
        <v>10683363</v>
      </c>
      <c r="C27" s="111">
        <f>'[1]Exercise 6 - Closed Claim Ldfs'!F23</f>
        <v>482</v>
      </c>
      <c r="D27" s="112">
        <f>+'Excercise 6 - Closed Claim LDFs'!F62</f>
        <v>1.0279213035514176</v>
      </c>
      <c r="E27" s="111">
        <f t="shared" si="1"/>
        <v>495.45806831178328</v>
      </c>
      <c r="F27" s="263">
        <f t="shared" si="3"/>
        <v>13.458068311783279</v>
      </c>
      <c r="G27" s="113">
        <f t="shared" si="2"/>
        <v>4.6376601479495108</v>
      </c>
    </row>
    <row r="28" spans="1:7" ht="15.75">
      <c r="A28" s="89">
        <f t="shared" si="0"/>
        <v>2013</v>
      </c>
      <c r="B28" s="94">
        <f>+'Input Data'!C25</f>
        <v>10430225</v>
      </c>
      <c r="C28" s="111">
        <f>'[1]Exercise 6 - Closed Claim Ldfs'!E24</f>
        <v>452</v>
      </c>
      <c r="D28" s="112">
        <f>+'Excercise 6 - Closed Claim LDFs'!E62</f>
        <v>1.0567065174735149</v>
      </c>
      <c r="E28" s="111">
        <f t="shared" si="1"/>
        <v>477.63134589802871</v>
      </c>
      <c r="F28" s="263">
        <f t="shared" si="3"/>
        <v>25.631345898028712</v>
      </c>
      <c r="G28" s="113">
        <f t="shared" si="2"/>
        <v>4.5793005030862588</v>
      </c>
    </row>
    <row r="29" spans="1:7" ht="15.75">
      <c r="A29" s="89">
        <f t="shared" si="0"/>
        <v>2014</v>
      </c>
      <c r="B29" s="94">
        <f>+'Input Data'!C26</f>
        <v>10106327</v>
      </c>
      <c r="C29" s="111">
        <f>'[1]Exercise 6 - Closed Claim Ldfs'!D25</f>
        <v>412</v>
      </c>
      <c r="D29" s="112">
        <f>+'Excercise 6 - Closed Claim LDFs'!D62</f>
        <v>1.0959082724691764</v>
      </c>
      <c r="E29" s="111">
        <f t="shared" si="1"/>
        <v>451.51420825730071</v>
      </c>
      <c r="F29" s="263">
        <f t="shared" si="3"/>
        <v>39.514208257300709</v>
      </c>
      <c r="G29" s="113">
        <f t="shared" si="2"/>
        <v>4.4676390171948785</v>
      </c>
    </row>
    <row r="30" spans="1:7" ht="15.75">
      <c r="A30" s="89">
        <f>+A31-1</f>
        <v>2015</v>
      </c>
      <c r="B30" s="94">
        <f>+'Input Data'!C27</f>
        <v>9889744</v>
      </c>
      <c r="C30" s="111">
        <f>'[1]Exercise 6 - Closed Claim Ldfs'!C26</f>
        <v>350</v>
      </c>
      <c r="D30" s="112">
        <f>+'Excercise 6 - Closed Claim LDFs'!C62</f>
        <v>1.1723345048718885</v>
      </c>
      <c r="E30" s="111">
        <f t="shared" si="1"/>
        <v>410.31707670516096</v>
      </c>
      <c r="F30" s="263">
        <f t="shared" si="3"/>
        <v>60.317076705160957</v>
      </c>
      <c r="G30" s="113">
        <f t="shared" si="2"/>
        <v>4.1489150447692174</v>
      </c>
    </row>
    <row r="31" spans="1:7" ht="15.75">
      <c r="A31" s="89">
        <f>+EndYear</f>
        <v>2016</v>
      </c>
      <c r="B31" s="94">
        <f>+'Input Data'!C28</f>
        <v>9998035.5</v>
      </c>
      <c r="C31" s="111">
        <f>'[1]Exercise 6 - Closed Claim Ldfs'!B27</f>
        <v>218</v>
      </c>
      <c r="D31" s="112">
        <f>+'Excercise 6 - Closed Claim LDFs'!B62</f>
        <v>1.7412147908800608</v>
      </c>
      <c r="E31" s="111">
        <f t="shared" si="1"/>
        <v>379.58482441185328</v>
      </c>
      <c r="F31" s="263">
        <f t="shared" si="3"/>
        <v>161.58482441185328</v>
      </c>
      <c r="G31" s="113">
        <f t="shared" si="2"/>
        <v>3.7965940850265363</v>
      </c>
    </row>
    <row r="32" spans="1:7">
      <c r="A32" s="89"/>
      <c r="B32" s="114"/>
      <c r="C32" s="95"/>
      <c r="D32" s="91"/>
      <c r="E32" s="95"/>
      <c r="F32" s="95"/>
      <c r="G32" s="96"/>
    </row>
    <row r="33" spans="1:7">
      <c r="A33" s="97" t="s">
        <v>63</v>
      </c>
      <c r="B33" s="98">
        <f>SUM(B16:B32)</f>
        <v>139880468.5</v>
      </c>
      <c r="C33" s="98">
        <f>SUM(C16:C32)</f>
        <v>6906</v>
      </c>
      <c r="D33" s="99"/>
      <c r="E33" s="98">
        <f>SUM(E16:E32)</f>
        <v>7228.3630018734248</v>
      </c>
      <c r="F33" s="224">
        <f t="shared" ref="F33" si="4">SUM(F16:F32)</f>
        <v>322.36300187342522</v>
      </c>
      <c r="G33" s="256">
        <f>+E33/(B33/100000)</f>
        <v>5.1675284472423861</v>
      </c>
    </row>
    <row r="35" spans="1:7" ht="15.75">
      <c r="A35" s="100"/>
      <c r="B35" s="100"/>
    </row>
    <row r="36" spans="1:7" ht="15.75">
      <c r="A36" s="101"/>
      <c r="B36" s="101"/>
    </row>
    <row r="110" spans="1:7" ht="15">
      <c r="A110" s="247">
        <f>+'Excercise 6 - Closed Claim LDFs'!R111</f>
        <v>180</v>
      </c>
      <c r="B110" s="103">
        <f>+'Input Data'!C14</f>
        <v>6953372</v>
      </c>
      <c r="C110" s="247">
        <f>+'Excercise 6 - Closed Claim LDFs'!S111</f>
        <v>522</v>
      </c>
      <c r="D110" s="249">
        <f>+'Excercise 6 - Closed Claim LDFs'!T111</f>
        <v>1</v>
      </c>
      <c r="E110" s="109">
        <f>+C110*D110</f>
        <v>522</v>
      </c>
      <c r="F110" s="103">
        <f>+E110-C110</f>
        <v>0</v>
      </c>
      <c r="G110" s="281">
        <f t="shared" ref="G110:G124" si="5">+E110/(B110/100000)</f>
        <v>7.507149049410847</v>
      </c>
    </row>
    <row r="111" spans="1:7" ht="15">
      <c r="A111" s="247">
        <f>+'Excercise 6 - Closed Claim LDFs'!R112</f>
        <v>168</v>
      </c>
      <c r="B111" s="103">
        <f>+'Input Data'!C15</f>
        <v>6567116</v>
      </c>
      <c r="C111" s="247">
        <f>+'Excercise 6 - Closed Claim LDFs'!S112</f>
        <v>526</v>
      </c>
      <c r="D111" s="249">
        <f>+'Excercise 6 - Closed Claim LDFs'!T112</f>
        <v>1</v>
      </c>
      <c r="E111" s="109">
        <f t="shared" ref="E111:E124" si="6">+C111*D111</f>
        <v>526</v>
      </c>
      <c r="F111" s="103">
        <f t="shared" ref="F111:F124" si="7">+E111-C111</f>
        <v>0</v>
      </c>
      <c r="G111" s="281">
        <f t="shared" si="5"/>
        <v>8.0096042159145657</v>
      </c>
    </row>
    <row r="112" spans="1:7" ht="15">
      <c r="A112" s="247">
        <f>+'Excercise 6 - Closed Claim LDFs'!R113</f>
        <v>156</v>
      </c>
      <c r="B112" s="103">
        <f>+'Input Data'!C16</f>
        <v>6690146</v>
      </c>
      <c r="C112" s="247">
        <f>+'Excercise 6 - Closed Claim LDFs'!S113</f>
        <v>513</v>
      </c>
      <c r="D112" s="249">
        <f>+'Excercise 6 - Closed Claim LDFs'!T113</f>
        <v>1.0009551098376313</v>
      </c>
      <c r="E112" s="109">
        <f t="shared" si="6"/>
        <v>513.48997134670481</v>
      </c>
      <c r="F112" s="103">
        <f t="shared" si="7"/>
        <v>0.48997134670480591</v>
      </c>
      <c r="G112" s="281">
        <f t="shared" si="5"/>
        <v>7.6753178682005565</v>
      </c>
    </row>
    <row r="113" spans="1:7" ht="15">
      <c r="A113" s="247">
        <f>+'Excercise 6 - Closed Claim LDFs'!R114</f>
        <v>144</v>
      </c>
      <c r="B113" s="103">
        <f>+'Input Data'!C17</f>
        <v>7103262.0000000009</v>
      </c>
      <c r="C113" s="247">
        <f>+'Excercise 6 - Closed Claim LDFs'!S114</f>
        <v>529</v>
      </c>
      <c r="D113" s="249">
        <f>+'Excercise 6 - Closed Claim LDFs'!T114</f>
        <v>1.0015971592987201</v>
      </c>
      <c r="E113" s="109">
        <f t="shared" si="6"/>
        <v>529.84489726902291</v>
      </c>
      <c r="F113" s="103">
        <f t="shared" si="7"/>
        <v>0.8448972690229084</v>
      </c>
      <c r="G113" s="281">
        <f t="shared" si="5"/>
        <v>7.4591771677438174</v>
      </c>
    </row>
    <row r="114" spans="1:7" ht="15">
      <c r="A114" s="247">
        <f>+'Excercise 6 - Closed Claim LDFs'!R115</f>
        <v>132</v>
      </c>
      <c r="B114" s="103">
        <f>+'Input Data'!C18</f>
        <v>7959030</v>
      </c>
      <c r="C114" s="247">
        <f>+'Excercise 6 - Closed Claim LDFs'!S115</f>
        <v>554</v>
      </c>
      <c r="D114" s="249">
        <f>+'Excercise 6 - Closed Claim LDFs'!T115</f>
        <v>1.0022371574835756</v>
      </c>
      <c r="E114" s="109">
        <f t="shared" si="6"/>
        <v>555.23938524590085</v>
      </c>
      <c r="F114" s="103">
        <f t="shared" si="7"/>
        <v>1.2393852459008485</v>
      </c>
      <c r="G114" s="281">
        <f t="shared" si="5"/>
        <v>6.9762192785540558</v>
      </c>
    </row>
    <row r="115" spans="1:7" ht="15">
      <c r="A115" s="247">
        <f>+'Excercise 6 - Closed Claim LDFs'!R116</f>
        <v>120</v>
      </c>
      <c r="B115" s="103">
        <f>+'Input Data'!C19</f>
        <v>9363418</v>
      </c>
      <c r="C115" s="247">
        <f>+'Excercise 6 - Closed Claim LDFs'!S116</f>
        <v>433</v>
      </c>
      <c r="D115" s="249">
        <f>+'Excercise 6 - Closed Claim LDFs'!T116</f>
        <v>1.0046466862691237</v>
      </c>
      <c r="E115" s="109">
        <f t="shared" si="6"/>
        <v>435.01201515453056</v>
      </c>
      <c r="F115" s="103">
        <f t="shared" si="7"/>
        <v>2.0120151545305589</v>
      </c>
      <c r="G115" s="281">
        <f t="shared" si="5"/>
        <v>4.6458677285851229</v>
      </c>
    </row>
    <row r="116" spans="1:7" ht="15">
      <c r="A116" s="247">
        <f>+'Excercise 6 - Closed Claim LDFs'!R117</f>
        <v>108</v>
      </c>
      <c r="B116" s="103">
        <f>+'Input Data'!C20</f>
        <v>10597562</v>
      </c>
      <c r="C116" s="247">
        <f>+'Excercise 6 - Closed Claim LDFs'!S117</f>
        <v>473</v>
      </c>
      <c r="D116" s="249">
        <f>+'Excercise 6 - Closed Claim LDFs'!T117</f>
        <v>1.0042101680478468</v>
      </c>
      <c r="E116" s="109">
        <f t="shared" si="6"/>
        <v>474.99140948663154</v>
      </c>
      <c r="F116" s="103">
        <f t="shared" si="7"/>
        <v>1.9914094866315395</v>
      </c>
      <c r="G116" s="281">
        <f t="shared" si="5"/>
        <v>4.4820819117324486</v>
      </c>
    </row>
    <row r="117" spans="1:7" ht="15">
      <c r="A117" s="247">
        <f>+'Excercise 6 - Closed Claim LDFs'!R118</f>
        <v>96</v>
      </c>
      <c r="B117" s="103">
        <f>+'Input Data'!C21</f>
        <v>11036360</v>
      </c>
      <c r="C117" s="247">
        <f>+'Excercise 6 - Closed Claim LDFs'!S118</f>
        <v>497</v>
      </c>
      <c r="D117" s="249">
        <f>+'Excercise 6 - Closed Claim LDFs'!T118</f>
        <v>1.0054403538926096</v>
      </c>
      <c r="E117" s="109">
        <f t="shared" si="6"/>
        <v>499.70385588462693</v>
      </c>
      <c r="F117" s="103">
        <f t="shared" si="7"/>
        <v>2.7038558846269325</v>
      </c>
      <c r="G117" s="281">
        <f t="shared" si="5"/>
        <v>4.5277959026764885</v>
      </c>
    </row>
    <row r="118" spans="1:7" ht="15">
      <c r="A118" s="247">
        <f>+'Excercise 6 - Closed Claim LDFs'!R119</f>
        <v>84</v>
      </c>
      <c r="B118" s="103">
        <f>+'Input Data'!C22</f>
        <v>11402928</v>
      </c>
      <c r="C118" s="247">
        <f>+'Excercise 6 - Closed Claim LDFs'!S119</f>
        <v>500</v>
      </c>
      <c r="D118" s="249">
        <f>+'Excercise 6 - Closed Claim LDFs'!T119</f>
        <v>1.0108692974881421</v>
      </c>
      <c r="E118" s="109">
        <f t="shared" si="6"/>
        <v>505.43464874407107</v>
      </c>
      <c r="F118" s="103">
        <f t="shared" si="7"/>
        <v>5.4346487440710689</v>
      </c>
      <c r="G118" s="281">
        <f t="shared" si="5"/>
        <v>4.4324988173570077</v>
      </c>
    </row>
    <row r="119" spans="1:7" ht="15">
      <c r="A119" s="247">
        <f>+'Excercise 6 - Closed Claim LDFs'!R120</f>
        <v>72</v>
      </c>
      <c r="B119" s="103">
        <f>+'Input Data'!C23</f>
        <v>11099580</v>
      </c>
      <c r="C119" s="247">
        <f>+'Excercise 6 - Closed Claim LDFs'!S120</f>
        <v>445</v>
      </c>
      <c r="D119" s="249">
        <f>+'Excercise 6 - Closed Claim LDFs'!T120</f>
        <v>1.0160478542872127</v>
      </c>
      <c r="E119" s="109">
        <f t="shared" si="6"/>
        <v>452.14129515780962</v>
      </c>
      <c r="F119" s="103">
        <f t="shared" si="7"/>
        <v>7.1412951578096227</v>
      </c>
      <c r="G119" s="281">
        <f t="shared" si="5"/>
        <v>4.0734991338213664</v>
      </c>
    </row>
    <row r="120" spans="1:7" ht="15">
      <c r="A120" s="247">
        <f>+'Excercise 6 - Closed Claim LDFs'!R121</f>
        <v>60</v>
      </c>
      <c r="B120" s="103">
        <f>+'Input Data'!C24</f>
        <v>10683363</v>
      </c>
      <c r="C120" s="247">
        <f>+'Excercise 6 - Closed Claim LDFs'!S121</f>
        <v>482</v>
      </c>
      <c r="D120" s="249">
        <f>+'Excercise 6 - Closed Claim LDFs'!T121</f>
        <v>1.0279213035514176</v>
      </c>
      <c r="E120" s="109">
        <f t="shared" si="6"/>
        <v>495.45806831178328</v>
      </c>
      <c r="F120" s="103">
        <f t="shared" si="7"/>
        <v>13.458068311783279</v>
      </c>
      <c r="G120" s="281">
        <f t="shared" si="5"/>
        <v>4.6376601479495108</v>
      </c>
    </row>
    <row r="121" spans="1:7" ht="15">
      <c r="A121" s="247">
        <f>+'Excercise 6 - Closed Claim LDFs'!R122</f>
        <v>48</v>
      </c>
      <c r="B121" s="103">
        <f>+'Input Data'!C25</f>
        <v>10430225</v>
      </c>
      <c r="C121" s="247">
        <f>+'Excercise 6 - Closed Claim LDFs'!S122</f>
        <v>452</v>
      </c>
      <c r="D121" s="249">
        <f>+'Excercise 6 - Closed Claim LDFs'!T122</f>
        <v>1.0567065174735149</v>
      </c>
      <c r="E121" s="109">
        <f t="shared" si="6"/>
        <v>477.63134589802871</v>
      </c>
      <c r="F121" s="103">
        <f t="shared" si="7"/>
        <v>25.631345898028712</v>
      </c>
      <c r="G121" s="281">
        <f t="shared" si="5"/>
        <v>4.5793005030862588</v>
      </c>
    </row>
    <row r="122" spans="1:7" ht="15">
      <c r="A122" s="247">
        <f>+'Excercise 6 - Closed Claim LDFs'!R123</f>
        <v>36</v>
      </c>
      <c r="B122" s="103">
        <f>+'Input Data'!C26</f>
        <v>10106327</v>
      </c>
      <c r="C122" s="247">
        <f>+'Excercise 6 - Closed Claim LDFs'!S123</f>
        <v>412</v>
      </c>
      <c r="D122" s="249">
        <f>+'Excercise 6 - Closed Claim LDFs'!T123</f>
        <v>1.0959082724691764</v>
      </c>
      <c r="E122" s="109">
        <f t="shared" si="6"/>
        <v>451.51420825730071</v>
      </c>
      <c r="F122" s="103">
        <f t="shared" si="7"/>
        <v>39.514208257300709</v>
      </c>
      <c r="G122" s="281">
        <f t="shared" si="5"/>
        <v>4.4676390171948785</v>
      </c>
    </row>
    <row r="123" spans="1:7" ht="15">
      <c r="A123" s="247">
        <f>+'Excercise 6 - Closed Claim LDFs'!R124</f>
        <v>24</v>
      </c>
      <c r="B123" s="103">
        <f>+'Input Data'!C27</f>
        <v>9889744</v>
      </c>
      <c r="C123" s="247">
        <f>+'Excercise 6 - Closed Claim LDFs'!S124</f>
        <v>350</v>
      </c>
      <c r="D123" s="249">
        <f>+'Excercise 6 - Closed Claim LDFs'!T124</f>
        <v>1.1723345048718885</v>
      </c>
      <c r="E123" s="109">
        <f t="shared" si="6"/>
        <v>410.31707670516096</v>
      </c>
      <c r="F123" s="103">
        <f t="shared" si="7"/>
        <v>60.317076705160957</v>
      </c>
      <c r="G123" s="281">
        <f t="shared" si="5"/>
        <v>4.1489150447692174</v>
      </c>
    </row>
    <row r="124" spans="1:7" ht="15">
      <c r="A124" s="247">
        <f>+'Excercise 6 - Closed Claim LDFs'!R125</f>
        <v>12</v>
      </c>
      <c r="B124" s="103">
        <f>+'Input Data'!C28</f>
        <v>9998035.5</v>
      </c>
      <c r="C124" s="247">
        <f>+'Excercise 6 - Closed Claim LDFs'!S125</f>
        <v>218</v>
      </c>
      <c r="D124" s="249">
        <f>+'Excercise 6 - Closed Claim LDFs'!T125</f>
        <v>1.7412147908800608</v>
      </c>
      <c r="E124" s="109">
        <f t="shared" si="6"/>
        <v>379.58482441185328</v>
      </c>
      <c r="F124" s="103">
        <f t="shared" si="7"/>
        <v>161.58482441185328</v>
      </c>
      <c r="G124" s="281">
        <f t="shared" si="5"/>
        <v>3.7965940850265363</v>
      </c>
    </row>
    <row r="126" spans="1:7">
      <c r="B126" s="103">
        <f>SUM(B110:B125)</f>
        <v>139880468.5</v>
      </c>
      <c r="C126" s="103">
        <f>SUM(C110:C125)</f>
        <v>6906</v>
      </c>
      <c r="E126" s="103">
        <f>SUM(E110:E125)</f>
        <v>7228.3630018734248</v>
      </c>
      <c r="F126" s="103">
        <f>SUM(F110:F125)</f>
        <v>322.36300187342522</v>
      </c>
      <c r="G126" s="281">
        <f>+E126/(B126/100000)</f>
        <v>5.1675284472423861</v>
      </c>
    </row>
  </sheetData>
  <conditionalFormatting sqref="F17:F31">
    <cfRule type="cellIs" dxfId="57" priority="1" operator="notEqual">
      <formula>$F110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K120"/>
  <sheetViews>
    <sheetView showGridLines="0" topLeftCell="Z56" workbookViewId="0">
      <selection activeCell="V1" sqref="V1:AK56"/>
    </sheetView>
  </sheetViews>
  <sheetFormatPr defaultColWidth="10" defaultRowHeight="15"/>
  <cols>
    <col min="1" max="1" width="27.7109375" style="3" customWidth="1"/>
    <col min="2" max="16" width="18.28515625" style="1" customWidth="1"/>
    <col min="17" max="17" width="1.42578125" style="1" customWidth="1"/>
    <col min="18" max="18" width="10" style="1"/>
    <col min="19" max="19" width="14.7109375" style="1" customWidth="1"/>
    <col min="20" max="21" width="10" style="1"/>
    <col min="22" max="22" width="17.28515625" style="1" customWidth="1"/>
    <col min="23" max="37" width="18.28515625" style="1" customWidth="1"/>
    <col min="38" max="38" width="1.42578125" style="1" customWidth="1"/>
    <col min="39" max="16384" width="10" style="1"/>
  </cols>
  <sheetData>
    <row r="1" spans="1:37" customFormat="1" ht="15.75">
      <c r="A1" s="203" t="s">
        <v>0</v>
      </c>
      <c r="B1" s="62"/>
      <c r="C1" s="62"/>
      <c r="D1" s="62"/>
      <c r="E1" s="62"/>
      <c r="F1" s="6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03" t="s">
        <v>0</v>
      </c>
      <c r="W1" s="62"/>
      <c r="X1" s="62"/>
      <c r="Y1" s="62"/>
      <c r="Z1" s="62"/>
      <c r="AA1" s="62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customFormat="1" ht="15.75">
      <c r="A2" s="204" t="str">
        <f>+"Analysis of Loss &amp; DCC Reserves as of "&amp;TEXT(EvalDate,"mm/dd/yyy")</f>
        <v>Analysis of Loss &amp; DCC Reserves as of 12/31/2016</v>
      </c>
      <c r="B2" s="62"/>
      <c r="C2" s="62"/>
      <c r="D2" s="62"/>
      <c r="E2" s="62"/>
      <c r="F2" s="6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04" t="str">
        <f>+"Analysis of Loss &amp; DCC Reserves as of "&amp;TEXT(EvalDate,"mm/dd/yyy")</f>
        <v>Analysis of Loss &amp; DCC Reserves as of 12/31/2016</v>
      </c>
      <c r="W2" s="62"/>
      <c r="X2" s="62"/>
      <c r="Y2" s="62"/>
      <c r="Z2" s="62"/>
      <c r="AA2" s="62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customFormat="1" ht="15.75">
      <c r="A3" s="205" t="str">
        <f>+LOB</f>
        <v>Liability</v>
      </c>
      <c r="B3" s="6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05" t="str">
        <f>+LOB</f>
        <v>Liability</v>
      </c>
      <c r="W3" s="62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customFormat="1" ht="15.7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4"/>
      <c r="T4" s="4"/>
      <c r="U4" s="4"/>
      <c r="V4" s="3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customFormat="1">
      <c r="A5" s="2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 t="s">
        <v>2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customFormat="1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3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customFormat="1">
      <c r="A7" s="5" t="s">
        <v>3</v>
      </c>
      <c r="B7" s="6" t="s">
        <v>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  <c r="Q7" s="1"/>
      <c r="R7" s="1"/>
      <c r="S7" s="1"/>
      <c r="T7" s="1"/>
      <c r="U7" s="1"/>
      <c r="V7" s="5" t="s">
        <v>3</v>
      </c>
      <c r="W7" s="6" t="s">
        <v>4</v>
      </c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7"/>
    </row>
    <row r="8" spans="1:37" customFormat="1">
      <c r="A8" s="8" t="s">
        <v>5</v>
      </c>
      <c r="B8" s="9">
        <f>+FirstMonth</f>
        <v>12</v>
      </c>
      <c r="C8" s="9">
        <f t="shared" ref="C8:P8" si="0">B8+12</f>
        <v>24</v>
      </c>
      <c r="D8" s="9">
        <f t="shared" si="0"/>
        <v>36</v>
      </c>
      <c r="E8" s="9">
        <f t="shared" si="0"/>
        <v>48</v>
      </c>
      <c r="F8" s="9">
        <f t="shared" si="0"/>
        <v>60</v>
      </c>
      <c r="G8" s="9">
        <f t="shared" si="0"/>
        <v>72</v>
      </c>
      <c r="H8" s="9">
        <f t="shared" si="0"/>
        <v>84</v>
      </c>
      <c r="I8" s="9">
        <f t="shared" si="0"/>
        <v>96</v>
      </c>
      <c r="J8" s="9">
        <f t="shared" si="0"/>
        <v>108</v>
      </c>
      <c r="K8" s="9">
        <f t="shared" si="0"/>
        <v>120</v>
      </c>
      <c r="L8" s="9">
        <f t="shared" si="0"/>
        <v>132</v>
      </c>
      <c r="M8" s="9">
        <f t="shared" si="0"/>
        <v>144</v>
      </c>
      <c r="N8" s="9">
        <f t="shared" si="0"/>
        <v>156</v>
      </c>
      <c r="O8" s="9">
        <f t="shared" si="0"/>
        <v>168</v>
      </c>
      <c r="P8" s="9">
        <f t="shared" si="0"/>
        <v>180</v>
      </c>
      <c r="Q8" s="3"/>
      <c r="R8" s="3"/>
      <c r="S8" s="3"/>
      <c r="T8" s="3"/>
      <c r="U8" s="3"/>
      <c r="V8" s="8" t="s">
        <v>5</v>
      </c>
      <c r="W8" s="9">
        <f>+FirstMonth</f>
        <v>12</v>
      </c>
      <c r="X8" s="9">
        <f t="shared" ref="X8" si="1">W8+12</f>
        <v>24</v>
      </c>
      <c r="Y8" s="9">
        <f t="shared" ref="Y8" si="2">X8+12</f>
        <v>36</v>
      </c>
      <c r="Z8" s="9">
        <f t="shared" ref="Z8" si="3">Y8+12</f>
        <v>48</v>
      </c>
      <c r="AA8" s="9">
        <f t="shared" ref="AA8" si="4">Z8+12</f>
        <v>60</v>
      </c>
      <c r="AB8" s="9">
        <f t="shared" ref="AB8" si="5">AA8+12</f>
        <v>72</v>
      </c>
      <c r="AC8" s="9">
        <f t="shared" ref="AC8" si="6">AB8+12</f>
        <v>84</v>
      </c>
      <c r="AD8" s="9">
        <f t="shared" ref="AD8" si="7">AC8+12</f>
        <v>96</v>
      </c>
      <c r="AE8" s="9">
        <f t="shared" ref="AE8" si="8">AD8+12</f>
        <v>108</v>
      </c>
      <c r="AF8" s="9">
        <f t="shared" ref="AF8" si="9">AE8+12</f>
        <v>120</v>
      </c>
      <c r="AG8" s="9">
        <f t="shared" ref="AG8" si="10">AF8+12</f>
        <v>132</v>
      </c>
      <c r="AH8" s="9">
        <f t="shared" ref="AH8" si="11">AG8+12</f>
        <v>144</v>
      </c>
      <c r="AI8" s="9">
        <f t="shared" ref="AI8" si="12">AH8+12</f>
        <v>156</v>
      </c>
      <c r="AJ8" s="9">
        <f t="shared" ref="AJ8" si="13">AI8+12</f>
        <v>168</v>
      </c>
      <c r="AK8" s="9">
        <f t="shared" ref="AK8" si="14">AJ8+12</f>
        <v>180</v>
      </c>
    </row>
    <row r="9" spans="1:37" customFormat="1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2"/>
      <c r="R9" s="1"/>
      <c r="S9" s="1"/>
      <c r="T9" s="1"/>
      <c r="U9" s="1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spans="1:37" customFormat="1" ht="15.75">
      <c r="A10" s="13">
        <f t="shared" ref="A10:A22" si="15">+A11-1</f>
        <v>2002</v>
      </c>
      <c r="B10" s="14">
        <v>341628.08666666667</v>
      </c>
      <c r="C10" s="14">
        <v>1034837.0066666667</v>
      </c>
      <c r="D10" s="14">
        <v>1898517.33</v>
      </c>
      <c r="E10" s="14">
        <v>2466774.65</v>
      </c>
      <c r="F10" s="14">
        <v>2991936.8266666667</v>
      </c>
      <c r="G10" s="14">
        <v>3152844.0233333334</v>
      </c>
      <c r="H10" s="14">
        <v>3241242.6666666665</v>
      </c>
      <c r="I10" s="14">
        <v>3278555.3333333335</v>
      </c>
      <c r="J10" s="14">
        <v>3335054</v>
      </c>
      <c r="K10" s="14">
        <v>3388571.6666666665</v>
      </c>
      <c r="L10" s="14">
        <v>3792652.3333333335</v>
      </c>
      <c r="M10" s="14">
        <v>4006045.4066666663</v>
      </c>
      <c r="N10" s="14">
        <v>4026075.6336999992</v>
      </c>
      <c r="O10" s="14">
        <v>4066336.3900369992</v>
      </c>
      <c r="P10" s="14">
        <v>4066336.3900369992</v>
      </c>
      <c r="Q10" s="12"/>
      <c r="R10" s="1"/>
      <c r="S10" s="1"/>
      <c r="T10" s="15"/>
      <c r="U10" s="15"/>
      <c r="V10" s="13">
        <f t="shared" ref="V10:V22" si="16">+V11-1</f>
        <v>2002</v>
      </c>
      <c r="W10" s="14">
        <v>341628.08666666667</v>
      </c>
      <c r="X10" s="14">
        <v>1034837.0066666667</v>
      </c>
      <c r="Y10" s="14">
        <v>1898517.33</v>
      </c>
      <c r="Z10" s="14">
        <v>2466774.65</v>
      </c>
      <c r="AA10" s="14">
        <v>2991936.8266666667</v>
      </c>
      <c r="AB10" s="14">
        <v>3152844.0233333334</v>
      </c>
      <c r="AC10" s="14">
        <v>3241242.6666666665</v>
      </c>
      <c r="AD10" s="14">
        <v>3278555.3333333335</v>
      </c>
      <c r="AE10" s="14">
        <v>3335054</v>
      </c>
      <c r="AF10" s="14">
        <v>3388571.6666666665</v>
      </c>
      <c r="AG10" s="14">
        <v>3792652.3333333335</v>
      </c>
      <c r="AH10" s="14">
        <v>4006045.4066666663</v>
      </c>
      <c r="AI10" s="14">
        <v>4026075.6336999992</v>
      </c>
      <c r="AJ10" s="14">
        <v>4066336.3900369992</v>
      </c>
      <c r="AK10" s="14">
        <v>4066336.3900369992</v>
      </c>
    </row>
    <row r="11" spans="1:37" customFormat="1" ht="15.75">
      <c r="A11" s="13">
        <f t="shared" si="15"/>
        <v>2003</v>
      </c>
      <c r="B11" s="14">
        <v>283763.23000000004</v>
      </c>
      <c r="C11" s="14">
        <v>1117576.8500000001</v>
      </c>
      <c r="D11" s="14">
        <v>2132066.98</v>
      </c>
      <c r="E11" s="14">
        <v>2570624</v>
      </c>
      <c r="F11" s="14">
        <v>2641818</v>
      </c>
      <c r="G11" s="14">
        <v>2728291</v>
      </c>
      <c r="H11" s="14">
        <v>2752957</v>
      </c>
      <c r="I11" s="14">
        <v>2785455</v>
      </c>
      <c r="J11" s="14">
        <v>2804471</v>
      </c>
      <c r="K11" s="14">
        <v>2808770</v>
      </c>
      <c r="L11" s="14">
        <v>2835273</v>
      </c>
      <c r="M11" s="14">
        <v>2886516</v>
      </c>
      <c r="N11" s="14">
        <v>3289147</v>
      </c>
      <c r="O11" s="14">
        <v>3271028.46</v>
      </c>
      <c r="P11" s="14"/>
      <c r="Q11" s="12"/>
      <c r="R11" s="1"/>
      <c r="S11" s="1"/>
      <c r="T11" s="15"/>
      <c r="U11" s="15"/>
      <c r="V11" s="13">
        <f t="shared" si="16"/>
        <v>2003</v>
      </c>
      <c r="W11" s="14">
        <v>283763.23000000004</v>
      </c>
      <c r="X11" s="14">
        <v>1117576.8500000001</v>
      </c>
      <c r="Y11" s="14">
        <v>2132066.98</v>
      </c>
      <c r="Z11" s="14">
        <v>2570624</v>
      </c>
      <c r="AA11" s="14">
        <v>2641818</v>
      </c>
      <c r="AB11" s="14">
        <v>2728291</v>
      </c>
      <c r="AC11" s="14">
        <v>2752957</v>
      </c>
      <c r="AD11" s="14">
        <v>2785455</v>
      </c>
      <c r="AE11" s="14">
        <v>2804471</v>
      </c>
      <c r="AF11" s="14">
        <v>2808770</v>
      </c>
      <c r="AG11" s="14">
        <v>2835273</v>
      </c>
      <c r="AH11" s="14">
        <v>2886516</v>
      </c>
      <c r="AI11" s="14">
        <v>3289147</v>
      </c>
      <c r="AJ11" s="14">
        <v>3271028.46</v>
      </c>
      <c r="AK11" s="14"/>
    </row>
    <row r="12" spans="1:37" customFormat="1" ht="15.75">
      <c r="A12" s="13">
        <f t="shared" si="15"/>
        <v>2004</v>
      </c>
      <c r="B12" s="14">
        <v>391721.33</v>
      </c>
      <c r="C12" s="14">
        <v>1101914.19</v>
      </c>
      <c r="D12" s="14">
        <v>2347778</v>
      </c>
      <c r="E12" s="14">
        <v>2952878</v>
      </c>
      <c r="F12" s="14">
        <v>3774844</v>
      </c>
      <c r="G12" s="14">
        <v>3845423</v>
      </c>
      <c r="H12" s="14">
        <v>3865494</v>
      </c>
      <c r="I12" s="14">
        <v>3865843</v>
      </c>
      <c r="J12" s="14">
        <v>3865843</v>
      </c>
      <c r="K12" s="14">
        <v>3866000</v>
      </c>
      <c r="L12" s="14">
        <v>3935115</v>
      </c>
      <c r="M12" s="14">
        <v>4574883</v>
      </c>
      <c r="N12" s="14">
        <v>4586913</v>
      </c>
      <c r="O12" s="14"/>
      <c r="P12" s="14"/>
      <c r="Q12" s="12"/>
      <c r="R12" s="1"/>
      <c r="S12" s="1"/>
      <c r="T12" s="15"/>
      <c r="U12" s="15"/>
      <c r="V12" s="13">
        <f t="shared" si="16"/>
        <v>2004</v>
      </c>
      <c r="W12" s="14">
        <v>391721.33</v>
      </c>
      <c r="X12" s="14">
        <v>1101914.19</v>
      </c>
      <c r="Y12" s="14">
        <v>2347778</v>
      </c>
      <c r="Z12" s="14">
        <v>2952878</v>
      </c>
      <c r="AA12" s="14">
        <v>3774844</v>
      </c>
      <c r="AB12" s="14">
        <v>3845423</v>
      </c>
      <c r="AC12" s="14">
        <v>3865494</v>
      </c>
      <c r="AD12" s="14">
        <v>3865843</v>
      </c>
      <c r="AE12" s="14">
        <v>3865843</v>
      </c>
      <c r="AF12" s="14">
        <v>3866000</v>
      </c>
      <c r="AG12" s="14">
        <v>3935115</v>
      </c>
      <c r="AH12" s="14">
        <v>4574883</v>
      </c>
      <c r="AI12" s="14">
        <v>4586913</v>
      </c>
      <c r="AJ12" s="14"/>
      <c r="AK12" s="14"/>
    </row>
    <row r="13" spans="1:37" customFormat="1" ht="15.75">
      <c r="A13" s="13">
        <f t="shared" si="15"/>
        <v>2005</v>
      </c>
      <c r="B13" s="14">
        <v>349399.7</v>
      </c>
      <c r="C13" s="14">
        <v>885019.98</v>
      </c>
      <c r="D13" s="14">
        <v>1215707.01</v>
      </c>
      <c r="E13" s="14">
        <v>1876821.9500000002</v>
      </c>
      <c r="F13" s="14">
        <v>2559148.48</v>
      </c>
      <c r="G13" s="14">
        <v>2884818.0700000003</v>
      </c>
      <c r="H13" s="14">
        <v>3105277</v>
      </c>
      <c r="I13" s="14">
        <v>3184368</v>
      </c>
      <c r="J13" s="14">
        <v>3334848</v>
      </c>
      <c r="K13" s="14">
        <v>3490945</v>
      </c>
      <c r="L13" s="14">
        <v>4607569</v>
      </c>
      <c r="M13" s="14">
        <v>4556737.22</v>
      </c>
      <c r="N13" s="14" t="s">
        <v>7</v>
      </c>
      <c r="O13" s="14"/>
      <c r="P13" s="14"/>
      <c r="Q13" s="12"/>
      <c r="R13" s="1"/>
      <c r="S13" s="1"/>
      <c r="T13" s="15"/>
      <c r="U13" s="15"/>
      <c r="V13" s="13">
        <f t="shared" si="16"/>
        <v>2005</v>
      </c>
      <c r="W13" s="14">
        <v>349399.7</v>
      </c>
      <c r="X13" s="14">
        <v>885019.98</v>
      </c>
      <c r="Y13" s="14">
        <v>1215707.01</v>
      </c>
      <c r="Z13" s="14">
        <v>1876821.9500000002</v>
      </c>
      <c r="AA13" s="14">
        <v>2559148.48</v>
      </c>
      <c r="AB13" s="14">
        <v>2884818.0700000003</v>
      </c>
      <c r="AC13" s="14">
        <v>3105277</v>
      </c>
      <c r="AD13" s="14">
        <v>3184368</v>
      </c>
      <c r="AE13" s="14">
        <v>3334848</v>
      </c>
      <c r="AF13" s="14">
        <v>3490945</v>
      </c>
      <c r="AG13" s="14">
        <v>4607569</v>
      </c>
      <c r="AH13" s="14">
        <v>4556737.22</v>
      </c>
      <c r="AI13" s="14" t="s">
        <v>7</v>
      </c>
      <c r="AJ13" s="14"/>
      <c r="AK13" s="14"/>
    </row>
    <row r="14" spans="1:37" customFormat="1" ht="15.75">
      <c r="A14" s="13">
        <f t="shared" si="15"/>
        <v>2006</v>
      </c>
      <c r="B14" s="14">
        <v>367060.18</v>
      </c>
      <c r="C14" s="14">
        <v>650671.76</v>
      </c>
      <c r="D14" s="14">
        <v>1463556.4</v>
      </c>
      <c r="E14" s="14">
        <v>2459692.5299999998</v>
      </c>
      <c r="F14" s="14">
        <v>2861391.53</v>
      </c>
      <c r="G14" s="14">
        <v>3302088</v>
      </c>
      <c r="H14" s="14">
        <v>3455868</v>
      </c>
      <c r="I14" s="14">
        <v>3605837</v>
      </c>
      <c r="J14" s="14">
        <v>3848064</v>
      </c>
      <c r="K14" s="14">
        <v>3934578</v>
      </c>
      <c r="L14" s="14">
        <v>4357830.49</v>
      </c>
      <c r="M14" s="14" t="s">
        <v>7</v>
      </c>
      <c r="N14" s="14" t="s">
        <v>7</v>
      </c>
      <c r="O14" s="14"/>
      <c r="P14" s="14"/>
      <c r="Q14" s="12"/>
      <c r="R14" s="1"/>
      <c r="S14" s="1"/>
      <c r="T14" s="15"/>
      <c r="U14" s="15"/>
      <c r="V14" s="13">
        <f t="shared" si="16"/>
        <v>2006</v>
      </c>
      <c r="W14" s="14">
        <v>367060.18</v>
      </c>
      <c r="X14" s="14">
        <v>650671.76</v>
      </c>
      <c r="Y14" s="14">
        <v>1463556.4</v>
      </c>
      <c r="Z14" s="14">
        <v>2459692.5299999998</v>
      </c>
      <c r="AA14" s="14">
        <v>2861391.53</v>
      </c>
      <c r="AB14" s="14">
        <v>3302088</v>
      </c>
      <c r="AC14" s="14">
        <v>3455868</v>
      </c>
      <c r="AD14" s="14">
        <v>3605837</v>
      </c>
      <c r="AE14" s="14">
        <v>3848064</v>
      </c>
      <c r="AF14" s="14">
        <v>3934578</v>
      </c>
      <c r="AG14" s="14">
        <v>4357830.49</v>
      </c>
      <c r="AH14" s="14" t="s">
        <v>7</v>
      </c>
      <c r="AI14" s="14" t="s">
        <v>7</v>
      </c>
      <c r="AJ14" s="14"/>
      <c r="AK14" s="14"/>
    </row>
    <row r="15" spans="1:37" customFormat="1" ht="15.75">
      <c r="A15" s="13">
        <f t="shared" si="15"/>
        <v>2007</v>
      </c>
      <c r="B15" s="14">
        <v>327138.93000000005</v>
      </c>
      <c r="C15" s="14">
        <v>667825.80000000005</v>
      </c>
      <c r="D15" s="14">
        <v>1221064.24</v>
      </c>
      <c r="E15" s="14">
        <v>1697077.74</v>
      </c>
      <c r="F15" s="14">
        <v>2239890</v>
      </c>
      <c r="G15" s="14">
        <v>2468219</v>
      </c>
      <c r="H15" s="14">
        <v>2574439</v>
      </c>
      <c r="I15" s="14">
        <v>2819279</v>
      </c>
      <c r="J15" s="14">
        <v>3233905</v>
      </c>
      <c r="K15" s="14">
        <v>3174352.51</v>
      </c>
      <c r="L15" s="14" t="s">
        <v>7</v>
      </c>
      <c r="M15" s="14" t="s">
        <v>7</v>
      </c>
      <c r="N15" s="14" t="s">
        <v>7</v>
      </c>
      <c r="O15" s="14"/>
      <c r="P15" s="14"/>
      <c r="Q15" s="1"/>
      <c r="R15" s="1"/>
      <c r="S15" s="1"/>
      <c r="T15" s="15"/>
      <c r="U15" s="15"/>
      <c r="V15" s="13">
        <f t="shared" si="16"/>
        <v>2007</v>
      </c>
      <c r="W15" s="14">
        <v>327138.93000000005</v>
      </c>
      <c r="X15" s="14">
        <v>667825.80000000005</v>
      </c>
      <c r="Y15" s="14">
        <v>1221064.24</v>
      </c>
      <c r="Z15" s="14">
        <v>1697077.74</v>
      </c>
      <c r="AA15" s="14">
        <v>2239890</v>
      </c>
      <c r="AB15" s="14">
        <v>2468219</v>
      </c>
      <c r="AC15" s="14">
        <v>2574439</v>
      </c>
      <c r="AD15" s="14">
        <v>2819279</v>
      </c>
      <c r="AE15" s="14">
        <v>3233905</v>
      </c>
      <c r="AF15" s="14">
        <v>3174352.51</v>
      </c>
      <c r="AG15" s="14" t="s">
        <v>7</v>
      </c>
      <c r="AH15" s="14" t="s">
        <v>7</v>
      </c>
      <c r="AI15" s="14" t="s">
        <v>7</v>
      </c>
      <c r="AJ15" s="14"/>
      <c r="AK15" s="14"/>
    </row>
    <row r="16" spans="1:37" customFormat="1" ht="15.75">
      <c r="A16" s="13">
        <f t="shared" si="15"/>
        <v>2008</v>
      </c>
      <c r="B16" s="14">
        <v>303592.51</v>
      </c>
      <c r="C16" s="14">
        <v>704761.55999999994</v>
      </c>
      <c r="D16" s="14">
        <v>1193811.97</v>
      </c>
      <c r="E16" s="14">
        <v>1517649</v>
      </c>
      <c r="F16" s="14">
        <v>1631896</v>
      </c>
      <c r="G16" s="14">
        <v>1735293</v>
      </c>
      <c r="H16" s="14">
        <v>1904538</v>
      </c>
      <c r="I16" s="14">
        <v>2243619</v>
      </c>
      <c r="J16" s="14">
        <v>2329891</v>
      </c>
      <c r="K16" s="14" t="s">
        <v>7</v>
      </c>
      <c r="L16" s="14" t="s">
        <v>7</v>
      </c>
      <c r="M16" s="14" t="s">
        <v>7</v>
      </c>
      <c r="N16" s="14" t="s">
        <v>7</v>
      </c>
      <c r="O16" s="14"/>
      <c r="P16" s="14"/>
      <c r="Q16" s="1"/>
      <c r="R16" s="1"/>
      <c r="S16" s="1"/>
      <c r="T16" s="15"/>
      <c r="U16" s="15"/>
      <c r="V16" s="13">
        <f t="shared" si="16"/>
        <v>2008</v>
      </c>
      <c r="W16" s="14">
        <v>303592.51</v>
      </c>
      <c r="X16" s="14">
        <v>704761.55999999994</v>
      </c>
      <c r="Y16" s="14">
        <v>1193811.97</v>
      </c>
      <c r="Z16" s="14">
        <v>1517649</v>
      </c>
      <c r="AA16" s="14">
        <v>1631896</v>
      </c>
      <c r="AB16" s="14">
        <v>1735293</v>
      </c>
      <c r="AC16" s="14">
        <v>1904538</v>
      </c>
      <c r="AD16" s="14">
        <v>2243619</v>
      </c>
      <c r="AE16" s="14">
        <v>2329891</v>
      </c>
      <c r="AF16" s="14" t="s">
        <v>7</v>
      </c>
      <c r="AG16" s="14" t="s">
        <v>7</v>
      </c>
      <c r="AH16" s="14" t="s">
        <v>7</v>
      </c>
      <c r="AI16" s="14" t="s">
        <v>7</v>
      </c>
      <c r="AJ16" s="14"/>
      <c r="AK16" s="14"/>
    </row>
    <row r="17" spans="1:37" customFormat="1" ht="15.75">
      <c r="A17" s="13">
        <f t="shared" si="15"/>
        <v>2009</v>
      </c>
      <c r="B17" s="14">
        <v>501759.82999999996</v>
      </c>
      <c r="C17" s="14">
        <v>1005936.53</v>
      </c>
      <c r="D17" s="14">
        <v>1340913</v>
      </c>
      <c r="E17" s="14">
        <v>1545589</v>
      </c>
      <c r="F17" s="14">
        <v>2213662</v>
      </c>
      <c r="G17" s="14">
        <v>2370115</v>
      </c>
      <c r="H17" s="14">
        <v>2452890</v>
      </c>
      <c r="I17" s="14">
        <v>2463991.9700000002</v>
      </c>
      <c r="J17" s="14" t="s">
        <v>7</v>
      </c>
      <c r="K17" s="14" t="s">
        <v>7</v>
      </c>
      <c r="L17" s="14" t="s">
        <v>7</v>
      </c>
      <c r="M17" s="14" t="s">
        <v>7</v>
      </c>
      <c r="N17" s="14" t="s">
        <v>7</v>
      </c>
      <c r="O17" s="14"/>
      <c r="P17" s="14"/>
      <c r="Q17" s="1"/>
      <c r="R17" s="1"/>
      <c r="S17" s="1"/>
      <c r="T17" s="15"/>
      <c r="U17" s="15"/>
      <c r="V17" s="13">
        <f t="shared" si="16"/>
        <v>2009</v>
      </c>
      <c r="W17" s="14">
        <v>501759.82999999996</v>
      </c>
      <c r="X17" s="14">
        <v>1005936.53</v>
      </c>
      <c r="Y17" s="14">
        <v>1340913</v>
      </c>
      <c r="Z17" s="14">
        <v>1545589</v>
      </c>
      <c r="AA17" s="14">
        <v>2213662</v>
      </c>
      <c r="AB17" s="14">
        <v>2370115</v>
      </c>
      <c r="AC17" s="14">
        <v>2452890</v>
      </c>
      <c r="AD17" s="14">
        <v>2463991.9700000002</v>
      </c>
      <c r="AE17" s="14" t="s">
        <v>7</v>
      </c>
      <c r="AF17" s="14" t="s">
        <v>7</v>
      </c>
      <c r="AG17" s="14" t="s">
        <v>7</v>
      </c>
      <c r="AH17" s="14" t="s">
        <v>7</v>
      </c>
      <c r="AI17" s="14" t="s">
        <v>7</v>
      </c>
      <c r="AJ17" s="14"/>
      <c r="AK17" s="14"/>
    </row>
    <row r="18" spans="1:37" customFormat="1" ht="15.75">
      <c r="A18" s="13">
        <f t="shared" si="15"/>
        <v>2010</v>
      </c>
      <c r="B18" s="14">
        <v>301144.82999999996</v>
      </c>
      <c r="C18" s="14">
        <v>658664</v>
      </c>
      <c r="D18" s="14">
        <v>1212189</v>
      </c>
      <c r="E18" s="14">
        <v>2430778</v>
      </c>
      <c r="F18" s="14">
        <v>2881963</v>
      </c>
      <c r="G18" s="14">
        <v>3049911</v>
      </c>
      <c r="H18" s="14">
        <v>3156139.46</v>
      </c>
      <c r="I18" s="14" t="s">
        <v>7</v>
      </c>
      <c r="J18" s="14" t="s">
        <v>7</v>
      </c>
      <c r="K18" s="14" t="s">
        <v>7</v>
      </c>
      <c r="L18" s="14" t="s">
        <v>7</v>
      </c>
      <c r="M18" s="14" t="s">
        <v>7</v>
      </c>
      <c r="N18" s="14" t="s">
        <v>7</v>
      </c>
      <c r="O18" s="14"/>
      <c r="P18" s="14"/>
      <c r="Q18" s="1"/>
      <c r="R18" s="1"/>
      <c r="S18" s="1"/>
      <c r="T18" s="15"/>
      <c r="U18" s="15"/>
      <c r="V18" s="13">
        <f t="shared" si="16"/>
        <v>2010</v>
      </c>
      <c r="W18" s="14">
        <v>301144.82999999996</v>
      </c>
      <c r="X18" s="14">
        <v>658664</v>
      </c>
      <c r="Y18" s="14">
        <v>1212189</v>
      </c>
      <c r="Z18" s="14">
        <v>2430778</v>
      </c>
      <c r="AA18" s="14">
        <v>2881963</v>
      </c>
      <c r="AB18" s="14">
        <v>3049911</v>
      </c>
      <c r="AC18" s="14">
        <v>3156139.46</v>
      </c>
      <c r="AD18" s="14" t="s">
        <v>7</v>
      </c>
      <c r="AE18" s="14" t="s">
        <v>7</v>
      </c>
      <c r="AF18" s="14" t="s">
        <v>7</v>
      </c>
      <c r="AG18" s="14" t="s">
        <v>7</v>
      </c>
      <c r="AH18" s="14" t="s">
        <v>7</v>
      </c>
      <c r="AI18" s="14" t="s">
        <v>7</v>
      </c>
      <c r="AJ18" s="14"/>
      <c r="AK18" s="14"/>
    </row>
    <row r="19" spans="1:37" customFormat="1" ht="15.75">
      <c r="A19" s="13">
        <f t="shared" si="15"/>
        <v>2011</v>
      </c>
      <c r="B19" s="14">
        <v>266685</v>
      </c>
      <c r="C19" s="14">
        <v>1109352</v>
      </c>
      <c r="D19" s="14">
        <v>1959118</v>
      </c>
      <c r="E19" s="14">
        <v>3213095</v>
      </c>
      <c r="F19" s="14">
        <v>6149641</v>
      </c>
      <c r="G19" s="14">
        <v>6907218</v>
      </c>
      <c r="H19" s="14" t="s">
        <v>7</v>
      </c>
      <c r="I19" s="14" t="s">
        <v>7</v>
      </c>
      <c r="J19" s="14" t="s">
        <v>7</v>
      </c>
      <c r="K19" s="14" t="s">
        <v>7</v>
      </c>
      <c r="L19" s="14" t="s">
        <v>7</v>
      </c>
      <c r="M19" s="14" t="s">
        <v>7</v>
      </c>
      <c r="N19" s="14" t="s">
        <v>7</v>
      </c>
      <c r="O19" s="14"/>
      <c r="P19" s="14"/>
      <c r="Q19" s="1"/>
      <c r="R19" s="1"/>
      <c r="S19" s="1"/>
      <c r="T19" s="15"/>
      <c r="U19" s="15"/>
      <c r="V19" s="13">
        <f t="shared" si="16"/>
        <v>2011</v>
      </c>
      <c r="W19" s="14">
        <v>266685</v>
      </c>
      <c r="X19" s="14">
        <v>1109352</v>
      </c>
      <c r="Y19" s="14">
        <v>1959118</v>
      </c>
      <c r="Z19" s="14">
        <v>3213095</v>
      </c>
      <c r="AA19" s="14">
        <v>6149641</v>
      </c>
      <c r="AB19" s="14">
        <v>6907218</v>
      </c>
      <c r="AC19" s="14" t="s">
        <v>7</v>
      </c>
      <c r="AD19" s="14" t="s">
        <v>7</v>
      </c>
      <c r="AE19" s="14" t="s">
        <v>7</v>
      </c>
      <c r="AF19" s="14" t="s">
        <v>7</v>
      </c>
      <c r="AG19" s="14" t="s">
        <v>7</v>
      </c>
      <c r="AH19" s="14" t="s">
        <v>7</v>
      </c>
      <c r="AI19" s="14" t="s">
        <v>7</v>
      </c>
      <c r="AJ19" s="14"/>
      <c r="AK19" s="14"/>
    </row>
    <row r="20" spans="1:37" customFormat="1" ht="15.75">
      <c r="A20" s="13">
        <f t="shared" si="15"/>
        <v>2012</v>
      </c>
      <c r="B20" s="14">
        <v>912098</v>
      </c>
      <c r="C20" s="14">
        <v>1686868</v>
      </c>
      <c r="D20" s="14">
        <v>1917266</v>
      </c>
      <c r="E20" s="14">
        <v>2745786</v>
      </c>
      <c r="F20" s="14">
        <v>4132680</v>
      </c>
      <c r="G20" s="14" t="s">
        <v>7</v>
      </c>
      <c r="H20" s="14" t="s">
        <v>7</v>
      </c>
      <c r="I20" s="14" t="s">
        <v>7</v>
      </c>
      <c r="J20" s="14" t="s">
        <v>7</v>
      </c>
      <c r="K20" s="14" t="s">
        <v>7</v>
      </c>
      <c r="L20" s="14" t="s">
        <v>7</v>
      </c>
      <c r="M20" s="14" t="s">
        <v>7</v>
      </c>
      <c r="N20" s="14" t="s">
        <v>7</v>
      </c>
      <c r="O20" s="14"/>
      <c r="P20" s="14"/>
      <c r="Q20" s="1"/>
      <c r="R20" s="1"/>
      <c r="S20" s="1"/>
      <c r="T20" s="15"/>
      <c r="U20" s="15"/>
      <c r="V20" s="13">
        <f t="shared" si="16"/>
        <v>2012</v>
      </c>
      <c r="W20" s="14">
        <v>912098</v>
      </c>
      <c r="X20" s="14">
        <v>1686868</v>
      </c>
      <c r="Y20" s="14">
        <v>1917266</v>
      </c>
      <c r="Z20" s="14">
        <v>2745786</v>
      </c>
      <c r="AA20" s="14">
        <v>4132680</v>
      </c>
      <c r="AB20" s="14" t="s">
        <v>7</v>
      </c>
      <c r="AC20" s="14" t="s">
        <v>7</v>
      </c>
      <c r="AD20" s="14" t="s">
        <v>7</v>
      </c>
      <c r="AE20" s="14" t="s">
        <v>7</v>
      </c>
      <c r="AF20" s="14" t="s">
        <v>7</v>
      </c>
      <c r="AG20" s="14" t="s">
        <v>7</v>
      </c>
      <c r="AH20" s="14" t="s">
        <v>7</v>
      </c>
      <c r="AI20" s="14" t="s">
        <v>7</v>
      </c>
      <c r="AJ20" s="14"/>
      <c r="AK20" s="14"/>
    </row>
    <row r="21" spans="1:37" customFormat="1" ht="15.75">
      <c r="A21" s="13">
        <f t="shared" si="15"/>
        <v>2013</v>
      </c>
      <c r="B21" s="14">
        <v>338919</v>
      </c>
      <c r="C21" s="14">
        <v>901700</v>
      </c>
      <c r="D21" s="14">
        <v>1345545</v>
      </c>
      <c r="E21" s="14">
        <v>1766812.92</v>
      </c>
      <c r="F21" s="14" t="s">
        <v>7</v>
      </c>
      <c r="G21" s="14" t="s">
        <v>7</v>
      </c>
      <c r="H21" s="14" t="s">
        <v>7</v>
      </c>
      <c r="I21" s="14" t="s">
        <v>7</v>
      </c>
      <c r="J21" s="14" t="s">
        <v>7</v>
      </c>
      <c r="K21" s="14" t="s">
        <v>7</v>
      </c>
      <c r="L21" s="14" t="s">
        <v>7</v>
      </c>
      <c r="M21" s="14" t="s">
        <v>7</v>
      </c>
      <c r="N21" s="14" t="s">
        <v>7</v>
      </c>
      <c r="O21" s="14"/>
      <c r="P21" s="14"/>
      <c r="Q21" s="1"/>
      <c r="R21" s="1"/>
      <c r="S21" s="1"/>
      <c r="T21" s="15"/>
      <c r="U21" s="15"/>
      <c r="V21" s="13">
        <f t="shared" si="16"/>
        <v>2013</v>
      </c>
      <c r="W21" s="14">
        <v>338919</v>
      </c>
      <c r="X21" s="14">
        <v>901700</v>
      </c>
      <c r="Y21" s="14">
        <v>1345545</v>
      </c>
      <c r="Z21" s="14">
        <v>1766812.92</v>
      </c>
      <c r="AA21" s="14" t="s">
        <v>7</v>
      </c>
      <c r="AB21" s="14" t="s">
        <v>7</v>
      </c>
      <c r="AC21" s="14" t="s">
        <v>7</v>
      </c>
      <c r="AD21" s="14" t="s">
        <v>7</v>
      </c>
      <c r="AE21" s="14" t="s">
        <v>7</v>
      </c>
      <c r="AF21" s="14" t="s">
        <v>7</v>
      </c>
      <c r="AG21" s="14" t="s">
        <v>7</v>
      </c>
      <c r="AH21" s="14" t="s">
        <v>7</v>
      </c>
      <c r="AI21" s="14" t="s">
        <v>7</v>
      </c>
      <c r="AJ21" s="14"/>
      <c r="AK21" s="14"/>
    </row>
    <row r="22" spans="1:37" customFormat="1" ht="15.75">
      <c r="A22" s="13">
        <f t="shared" si="15"/>
        <v>2014</v>
      </c>
      <c r="B22" s="14">
        <v>338929</v>
      </c>
      <c r="C22" s="14">
        <v>801962</v>
      </c>
      <c r="D22" s="14">
        <v>1655619</v>
      </c>
      <c r="E22" s="14" t="s">
        <v>7</v>
      </c>
      <c r="F22" s="14" t="s">
        <v>7</v>
      </c>
      <c r="G22" s="14" t="s">
        <v>7</v>
      </c>
      <c r="H22" s="14" t="s">
        <v>7</v>
      </c>
      <c r="I22" s="14" t="s">
        <v>7</v>
      </c>
      <c r="J22" s="14" t="s">
        <v>7</v>
      </c>
      <c r="K22" s="14" t="s">
        <v>7</v>
      </c>
      <c r="L22" s="14" t="s">
        <v>7</v>
      </c>
      <c r="M22" s="14" t="s">
        <v>7</v>
      </c>
      <c r="N22" s="14" t="s">
        <v>7</v>
      </c>
      <c r="O22" s="14"/>
      <c r="P22" s="14"/>
      <c r="Q22" s="1"/>
      <c r="R22" s="1"/>
      <c r="S22" s="1"/>
      <c r="T22" s="15"/>
      <c r="U22" s="15"/>
      <c r="V22" s="13">
        <f t="shared" si="16"/>
        <v>2014</v>
      </c>
      <c r="W22" s="14">
        <v>338929</v>
      </c>
      <c r="X22" s="14">
        <v>801962</v>
      </c>
      <c r="Y22" s="14">
        <v>1655619</v>
      </c>
      <c r="Z22" s="14" t="s">
        <v>7</v>
      </c>
      <c r="AA22" s="14" t="s">
        <v>7</v>
      </c>
      <c r="AB22" s="14" t="s">
        <v>7</v>
      </c>
      <c r="AC22" s="14" t="s">
        <v>7</v>
      </c>
      <c r="AD22" s="14" t="s">
        <v>7</v>
      </c>
      <c r="AE22" s="14" t="s">
        <v>7</v>
      </c>
      <c r="AF22" s="14" t="s">
        <v>7</v>
      </c>
      <c r="AG22" s="14" t="s">
        <v>7</v>
      </c>
      <c r="AH22" s="14" t="s">
        <v>7</v>
      </c>
      <c r="AI22" s="14" t="s">
        <v>7</v>
      </c>
      <c r="AJ22" s="14"/>
      <c r="AK22" s="14"/>
    </row>
    <row r="23" spans="1:37" customFormat="1" ht="15.75">
      <c r="A23" s="13">
        <f>+A24-1</f>
        <v>2015</v>
      </c>
      <c r="B23" s="14">
        <v>345581</v>
      </c>
      <c r="C23" s="14">
        <v>629188</v>
      </c>
      <c r="D23" s="14" t="s">
        <v>7</v>
      </c>
      <c r="E23" s="14" t="s">
        <v>7</v>
      </c>
      <c r="F23" s="14" t="s">
        <v>7</v>
      </c>
      <c r="G23" s="14" t="s">
        <v>7</v>
      </c>
      <c r="H23" s="14" t="s">
        <v>7</v>
      </c>
      <c r="I23" s="14" t="s">
        <v>7</v>
      </c>
      <c r="J23" s="14" t="s">
        <v>7</v>
      </c>
      <c r="K23" s="14" t="s">
        <v>7</v>
      </c>
      <c r="L23" s="14" t="s">
        <v>7</v>
      </c>
      <c r="M23" s="14" t="s">
        <v>7</v>
      </c>
      <c r="N23" s="14" t="s">
        <v>7</v>
      </c>
      <c r="O23" s="14"/>
      <c r="P23" s="14"/>
      <c r="Q23" s="1"/>
      <c r="R23" s="1"/>
      <c r="S23" s="1"/>
      <c r="T23" s="15"/>
      <c r="U23" s="15"/>
      <c r="V23" s="13">
        <f>+V24-1</f>
        <v>2015</v>
      </c>
      <c r="W23" s="14">
        <v>345581</v>
      </c>
      <c r="X23" s="14">
        <v>629188</v>
      </c>
      <c r="Y23" s="14" t="s">
        <v>7</v>
      </c>
      <c r="Z23" s="14" t="s">
        <v>7</v>
      </c>
      <c r="AA23" s="14" t="s">
        <v>7</v>
      </c>
      <c r="AB23" s="14" t="s">
        <v>7</v>
      </c>
      <c r="AC23" s="14" t="s">
        <v>7</v>
      </c>
      <c r="AD23" s="14" t="s">
        <v>7</v>
      </c>
      <c r="AE23" s="14" t="s">
        <v>7</v>
      </c>
      <c r="AF23" s="14" t="s">
        <v>7</v>
      </c>
      <c r="AG23" s="14" t="s">
        <v>7</v>
      </c>
      <c r="AH23" s="14" t="s">
        <v>7</v>
      </c>
      <c r="AI23" s="14" t="s">
        <v>7</v>
      </c>
      <c r="AJ23" s="14"/>
      <c r="AK23" s="14"/>
    </row>
    <row r="24" spans="1:37" customFormat="1">
      <c r="A24" s="16">
        <f>+EndYear</f>
        <v>2016</v>
      </c>
      <c r="B24" s="14">
        <v>383397</v>
      </c>
      <c r="C24" s="14" t="s">
        <v>7</v>
      </c>
      <c r="D24" s="14" t="s">
        <v>7</v>
      </c>
      <c r="E24" s="14" t="s">
        <v>7</v>
      </c>
      <c r="F24" s="14" t="s">
        <v>7</v>
      </c>
      <c r="G24" s="14" t="s">
        <v>7</v>
      </c>
      <c r="H24" s="14" t="s">
        <v>7</v>
      </c>
      <c r="I24" s="14" t="s">
        <v>7</v>
      </c>
      <c r="J24" s="14" t="s">
        <v>7</v>
      </c>
      <c r="K24" s="14" t="s">
        <v>7</v>
      </c>
      <c r="L24" s="14" t="s">
        <v>7</v>
      </c>
      <c r="M24" s="14" t="s">
        <v>7</v>
      </c>
      <c r="N24" s="14" t="s">
        <v>7</v>
      </c>
      <c r="O24" s="14"/>
      <c r="P24" s="14"/>
      <c r="Q24" s="1"/>
      <c r="R24" s="1"/>
      <c r="S24" s="1"/>
      <c r="T24" s="18"/>
      <c r="U24" s="18"/>
      <c r="V24" s="16">
        <f>+EndYear</f>
        <v>2016</v>
      </c>
      <c r="W24" s="14">
        <v>383397</v>
      </c>
      <c r="X24" s="14" t="s">
        <v>7</v>
      </c>
      <c r="Y24" s="14" t="s">
        <v>7</v>
      </c>
      <c r="Z24" s="14" t="s">
        <v>7</v>
      </c>
      <c r="AA24" s="14" t="s">
        <v>7</v>
      </c>
      <c r="AB24" s="14" t="s">
        <v>7</v>
      </c>
      <c r="AC24" s="14" t="s">
        <v>7</v>
      </c>
      <c r="AD24" s="14" t="s">
        <v>7</v>
      </c>
      <c r="AE24" s="14" t="s">
        <v>7</v>
      </c>
      <c r="AF24" s="14" t="s">
        <v>7</v>
      </c>
      <c r="AG24" s="14" t="s">
        <v>7</v>
      </c>
      <c r="AH24" s="14" t="s">
        <v>7</v>
      </c>
      <c r="AI24" s="14" t="s">
        <v>7</v>
      </c>
      <c r="AJ24" s="14"/>
      <c r="AK24" s="14"/>
    </row>
    <row r="25" spans="1:37" customFormat="1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3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customFormat="1">
      <c r="A26" s="21" t="str">
        <f>'[1]Exercise 6 - Paid-Ldfs'!$A$10</f>
        <v>Accident</v>
      </c>
      <c r="B26" s="6" t="s">
        <v>8</v>
      </c>
      <c r="C26" s="6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/>
      <c r="Q26" s="1"/>
      <c r="R26" s="1"/>
      <c r="S26" s="1"/>
      <c r="T26" s="1"/>
      <c r="U26" s="1"/>
      <c r="V26" s="21" t="str">
        <f>'[1]Exercise 6 - Paid-Ldfs'!$A$10</f>
        <v>Accident</v>
      </c>
      <c r="W26" s="6" t="s">
        <v>8</v>
      </c>
      <c r="X26" s="6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3"/>
    </row>
    <row r="27" spans="1:37" customFormat="1">
      <c r="A27" s="8" t="s">
        <v>5</v>
      </c>
      <c r="B27" s="24" t="s">
        <v>9</v>
      </c>
      <c r="C27" s="24" t="s">
        <v>10</v>
      </c>
      <c r="D27" s="24" t="s">
        <v>11</v>
      </c>
      <c r="E27" s="24" t="s">
        <v>12</v>
      </c>
      <c r="F27" s="24" t="s">
        <v>13</v>
      </c>
      <c r="G27" s="24" t="s">
        <v>14</v>
      </c>
      <c r="H27" s="24" t="s">
        <v>15</v>
      </c>
      <c r="I27" s="24" t="s">
        <v>16</v>
      </c>
      <c r="J27" s="24" t="s">
        <v>17</v>
      </c>
      <c r="K27" s="24" t="s">
        <v>18</v>
      </c>
      <c r="L27" s="24" t="s">
        <v>19</v>
      </c>
      <c r="M27" s="24" t="s">
        <v>20</v>
      </c>
      <c r="N27" s="24" t="s">
        <v>21</v>
      </c>
      <c r="O27" s="24" t="s">
        <v>22</v>
      </c>
      <c r="P27" s="24" t="s">
        <v>23</v>
      </c>
      <c r="Q27" s="1"/>
      <c r="R27" s="1"/>
      <c r="S27" s="1"/>
      <c r="T27" s="1"/>
      <c r="U27" s="1"/>
      <c r="V27" s="8" t="s">
        <v>5</v>
      </c>
      <c r="W27" s="24" t="s">
        <v>9</v>
      </c>
      <c r="X27" s="24" t="s">
        <v>10</v>
      </c>
      <c r="Y27" s="24" t="s">
        <v>11</v>
      </c>
      <c r="Z27" s="24" t="s">
        <v>12</v>
      </c>
      <c r="AA27" s="24" t="s">
        <v>13</v>
      </c>
      <c r="AB27" s="24" t="s">
        <v>14</v>
      </c>
      <c r="AC27" s="24" t="s">
        <v>15</v>
      </c>
      <c r="AD27" s="24" t="s">
        <v>16</v>
      </c>
      <c r="AE27" s="24" t="s">
        <v>17</v>
      </c>
      <c r="AF27" s="24" t="s">
        <v>18</v>
      </c>
      <c r="AG27" s="24" t="s">
        <v>19</v>
      </c>
      <c r="AH27" s="24" t="s">
        <v>20</v>
      </c>
      <c r="AI27" s="24" t="s">
        <v>21</v>
      </c>
      <c r="AJ27" s="24" t="s">
        <v>22</v>
      </c>
      <c r="AK27" s="24" t="s">
        <v>23</v>
      </c>
    </row>
    <row r="28" spans="1:37" customFormat="1">
      <c r="A28" s="2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5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customFormat="1">
      <c r="A29" s="25">
        <f>+A10</f>
        <v>2002</v>
      </c>
      <c r="B29" s="19">
        <f>ROUND(C10/B10,3)</f>
        <v>3.0289999999999999</v>
      </c>
      <c r="C29" s="19">
        <f t="shared" ref="C29:N41" si="17">ROUND(D10/C10,3)</f>
        <v>1.835</v>
      </c>
      <c r="D29" s="19">
        <f t="shared" si="17"/>
        <v>1.2989999999999999</v>
      </c>
      <c r="E29" s="19">
        <f t="shared" si="17"/>
        <v>1.2130000000000001</v>
      </c>
      <c r="F29" s="19">
        <f t="shared" si="17"/>
        <v>1.054</v>
      </c>
      <c r="G29" s="19">
        <f t="shared" si="17"/>
        <v>1.028</v>
      </c>
      <c r="H29" s="19">
        <f t="shared" si="17"/>
        <v>1.012</v>
      </c>
      <c r="I29" s="19">
        <f t="shared" si="17"/>
        <v>1.0169999999999999</v>
      </c>
      <c r="J29" s="19">
        <f t="shared" si="17"/>
        <v>1.016</v>
      </c>
      <c r="K29" s="19">
        <f t="shared" si="17"/>
        <v>1.119</v>
      </c>
      <c r="L29" s="19">
        <f t="shared" si="17"/>
        <v>1.056</v>
      </c>
      <c r="M29" s="19">
        <f t="shared" si="17"/>
        <v>1.0049999999999999</v>
      </c>
      <c r="N29" s="19">
        <f t="shared" si="17"/>
        <v>1.01</v>
      </c>
      <c r="O29" s="19">
        <f>ROUND(P10/O10,3)</f>
        <v>1</v>
      </c>
      <c r="P29" s="1"/>
      <c r="Q29" s="1"/>
      <c r="R29" s="1"/>
      <c r="S29" s="1"/>
      <c r="T29" s="1"/>
      <c r="U29" s="1"/>
      <c r="V29" s="25">
        <f>+V10</f>
        <v>2002</v>
      </c>
      <c r="W29" s="19">
        <f>ROUND(X10/W10,3)</f>
        <v>3.0289999999999999</v>
      </c>
      <c r="X29" s="19">
        <f t="shared" ref="X29:X41" si="18">ROUND(Y10/X10,3)</f>
        <v>1.835</v>
      </c>
      <c r="Y29" s="19">
        <f t="shared" ref="Y29:Y40" si="19">ROUND(Z10/Y10,3)</f>
        <v>1.2989999999999999</v>
      </c>
      <c r="Z29" s="19">
        <f t="shared" ref="Z29:Z39" si="20">ROUND(AA10/Z10,3)</f>
        <v>1.2130000000000001</v>
      </c>
      <c r="AA29" s="19">
        <f t="shared" ref="AA29:AA38" si="21">ROUND(AB10/AA10,3)</f>
        <v>1.054</v>
      </c>
      <c r="AB29" s="19">
        <f t="shared" ref="AB29:AB37" si="22">ROUND(AC10/AB10,3)</f>
        <v>1.028</v>
      </c>
      <c r="AC29" s="19">
        <f t="shared" ref="AC29:AC36" si="23">ROUND(AD10/AC10,3)</f>
        <v>1.012</v>
      </c>
      <c r="AD29" s="19">
        <f t="shared" ref="AD29:AD35" si="24">ROUND(AE10/AD10,3)</f>
        <v>1.0169999999999999</v>
      </c>
      <c r="AE29" s="19">
        <f t="shared" ref="AE29:AE34" si="25">ROUND(AF10/AE10,3)</f>
        <v>1.016</v>
      </c>
      <c r="AF29" s="19">
        <f t="shared" ref="AF29:AF33" si="26">ROUND(AG10/AF10,3)</f>
        <v>1.119</v>
      </c>
      <c r="AG29" s="19">
        <f t="shared" ref="AG29:AG32" si="27">ROUND(AH10/AG10,3)</f>
        <v>1.056</v>
      </c>
      <c r="AH29" s="19">
        <f t="shared" ref="AH29:AH31" si="28">ROUND(AI10/AH10,3)</f>
        <v>1.0049999999999999</v>
      </c>
      <c r="AI29" s="19">
        <f t="shared" ref="AI29:AI30" si="29">ROUND(AJ10/AI10,3)</f>
        <v>1.01</v>
      </c>
      <c r="AJ29" s="19">
        <f>ROUND(AK10/AJ10,3)</f>
        <v>1</v>
      </c>
      <c r="AK29" s="1"/>
    </row>
    <row r="30" spans="1:37" customFormat="1">
      <c r="A30" s="25">
        <f t="shared" ref="A30:A43" si="30">+A11</f>
        <v>2003</v>
      </c>
      <c r="B30" s="19">
        <f t="shared" ref="B30:B42" si="31">ROUND(C11/B11,3)</f>
        <v>3.9380000000000002</v>
      </c>
      <c r="C30" s="19">
        <f t="shared" si="17"/>
        <v>1.9079999999999999</v>
      </c>
      <c r="D30" s="19">
        <f t="shared" si="17"/>
        <v>1.206</v>
      </c>
      <c r="E30" s="19">
        <f t="shared" si="17"/>
        <v>1.028</v>
      </c>
      <c r="F30" s="19">
        <f t="shared" si="17"/>
        <v>1.0329999999999999</v>
      </c>
      <c r="G30" s="19">
        <f t="shared" si="17"/>
        <v>1.0089999999999999</v>
      </c>
      <c r="H30" s="19">
        <f t="shared" si="17"/>
        <v>1.012</v>
      </c>
      <c r="I30" s="19">
        <f t="shared" si="17"/>
        <v>1.0069999999999999</v>
      </c>
      <c r="J30" s="19">
        <f t="shared" si="17"/>
        <v>1.002</v>
      </c>
      <c r="K30" s="19">
        <f t="shared" si="17"/>
        <v>1.0089999999999999</v>
      </c>
      <c r="L30" s="19">
        <f t="shared" si="17"/>
        <v>1.018</v>
      </c>
      <c r="M30" s="19">
        <f t="shared" si="17"/>
        <v>1.139</v>
      </c>
      <c r="N30" s="19">
        <f t="shared" si="17"/>
        <v>0.99399999999999999</v>
      </c>
      <c r="O30" s="1"/>
      <c r="P30" s="1"/>
      <c r="Q30" s="1"/>
      <c r="R30" s="1"/>
      <c r="S30" s="1"/>
      <c r="T30" s="1"/>
      <c r="U30" s="1"/>
      <c r="V30" s="25">
        <f t="shared" ref="V30:V43" si="32">+V11</f>
        <v>2003</v>
      </c>
      <c r="W30" s="19">
        <f t="shared" ref="W30:W42" si="33">ROUND(X11/W11,3)</f>
        <v>3.9380000000000002</v>
      </c>
      <c r="X30" s="19">
        <f t="shared" si="18"/>
        <v>1.9079999999999999</v>
      </c>
      <c r="Y30" s="19">
        <f t="shared" si="19"/>
        <v>1.206</v>
      </c>
      <c r="Z30" s="19">
        <f t="shared" si="20"/>
        <v>1.028</v>
      </c>
      <c r="AA30" s="19">
        <f t="shared" si="21"/>
        <v>1.0329999999999999</v>
      </c>
      <c r="AB30" s="19">
        <f t="shared" si="22"/>
        <v>1.0089999999999999</v>
      </c>
      <c r="AC30" s="19">
        <f t="shared" si="23"/>
        <v>1.012</v>
      </c>
      <c r="AD30" s="19">
        <f t="shared" si="24"/>
        <v>1.0069999999999999</v>
      </c>
      <c r="AE30" s="19">
        <f t="shared" si="25"/>
        <v>1.002</v>
      </c>
      <c r="AF30" s="19">
        <f t="shared" si="26"/>
        <v>1.0089999999999999</v>
      </c>
      <c r="AG30" s="19">
        <f t="shared" si="27"/>
        <v>1.018</v>
      </c>
      <c r="AH30" s="19">
        <f t="shared" si="28"/>
        <v>1.139</v>
      </c>
      <c r="AI30" s="19">
        <f t="shared" si="29"/>
        <v>0.99399999999999999</v>
      </c>
      <c r="AJ30" s="1"/>
      <c r="AK30" s="1"/>
    </row>
    <row r="31" spans="1:37" customFormat="1">
      <c r="A31" s="25">
        <f t="shared" si="30"/>
        <v>2004</v>
      </c>
      <c r="B31" s="19">
        <f t="shared" si="31"/>
        <v>2.8130000000000002</v>
      </c>
      <c r="C31" s="19">
        <f t="shared" si="17"/>
        <v>2.1309999999999998</v>
      </c>
      <c r="D31" s="19">
        <f t="shared" si="17"/>
        <v>1.258</v>
      </c>
      <c r="E31" s="19">
        <f t="shared" si="17"/>
        <v>1.278</v>
      </c>
      <c r="F31" s="19">
        <f t="shared" si="17"/>
        <v>1.0189999999999999</v>
      </c>
      <c r="G31" s="19">
        <f t="shared" si="17"/>
        <v>1.0049999999999999</v>
      </c>
      <c r="H31" s="19">
        <f t="shared" si="17"/>
        <v>1</v>
      </c>
      <c r="I31" s="19">
        <f t="shared" si="17"/>
        <v>1</v>
      </c>
      <c r="J31" s="19">
        <f t="shared" si="17"/>
        <v>1</v>
      </c>
      <c r="K31" s="19">
        <f t="shared" si="17"/>
        <v>1.018</v>
      </c>
      <c r="L31" s="19">
        <f t="shared" si="17"/>
        <v>1.163</v>
      </c>
      <c r="M31" s="19">
        <f t="shared" si="17"/>
        <v>1.0029999999999999</v>
      </c>
      <c r="N31" s="1"/>
      <c r="O31" s="1"/>
      <c r="P31" s="1"/>
      <c r="Q31" s="1"/>
      <c r="R31" s="1"/>
      <c r="S31" s="1"/>
      <c r="T31" s="1"/>
      <c r="U31" s="1"/>
      <c r="V31" s="25">
        <f t="shared" si="32"/>
        <v>2004</v>
      </c>
      <c r="W31" s="19">
        <f t="shared" si="33"/>
        <v>2.8130000000000002</v>
      </c>
      <c r="X31" s="19">
        <f t="shared" si="18"/>
        <v>2.1309999999999998</v>
      </c>
      <c r="Y31" s="19">
        <f t="shared" si="19"/>
        <v>1.258</v>
      </c>
      <c r="Z31" s="19">
        <f t="shared" si="20"/>
        <v>1.278</v>
      </c>
      <c r="AA31" s="19">
        <f t="shared" si="21"/>
        <v>1.0189999999999999</v>
      </c>
      <c r="AB31" s="19">
        <f t="shared" si="22"/>
        <v>1.0049999999999999</v>
      </c>
      <c r="AC31" s="19">
        <f t="shared" si="23"/>
        <v>1</v>
      </c>
      <c r="AD31" s="19">
        <f t="shared" si="24"/>
        <v>1</v>
      </c>
      <c r="AE31" s="19">
        <f t="shared" si="25"/>
        <v>1</v>
      </c>
      <c r="AF31" s="19">
        <f t="shared" si="26"/>
        <v>1.018</v>
      </c>
      <c r="AG31" s="19">
        <f t="shared" si="27"/>
        <v>1.163</v>
      </c>
      <c r="AH31" s="19">
        <f t="shared" si="28"/>
        <v>1.0029999999999999</v>
      </c>
      <c r="AI31" s="1"/>
      <c r="AJ31" s="1"/>
      <c r="AK31" s="1"/>
    </row>
    <row r="32" spans="1:37" customFormat="1">
      <c r="A32" s="25">
        <f t="shared" si="30"/>
        <v>2005</v>
      </c>
      <c r="B32" s="19">
        <f t="shared" si="31"/>
        <v>2.5329999999999999</v>
      </c>
      <c r="C32" s="19">
        <f t="shared" si="17"/>
        <v>1.3740000000000001</v>
      </c>
      <c r="D32" s="19">
        <f t="shared" si="17"/>
        <v>1.544</v>
      </c>
      <c r="E32" s="19">
        <f t="shared" si="17"/>
        <v>1.3640000000000001</v>
      </c>
      <c r="F32" s="19">
        <f t="shared" si="17"/>
        <v>1.127</v>
      </c>
      <c r="G32" s="19">
        <f t="shared" si="17"/>
        <v>1.0760000000000001</v>
      </c>
      <c r="H32" s="19">
        <f t="shared" si="17"/>
        <v>1.0249999999999999</v>
      </c>
      <c r="I32" s="19">
        <f t="shared" si="17"/>
        <v>1.0469999999999999</v>
      </c>
      <c r="J32" s="19">
        <f t="shared" si="17"/>
        <v>1.0469999999999999</v>
      </c>
      <c r="K32" s="19">
        <f t="shared" si="17"/>
        <v>1.32</v>
      </c>
      <c r="L32" s="19">
        <f t="shared" si="17"/>
        <v>0.98899999999999999</v>
      </c>
      <c r="M32" s="1"/>
      <c r="N32" s="1"/>
      <c r="O32" s="1"/>
      <c r="P32" s="1"/>
      <c r="Q32" s="1"/>
      <c r="R32" s="1"/>
      <c r="S32" s="1"/>
      <c r="T32" s="1"/>
      <c r="U32" s="1"/>
      <c r="V32" s="25">
        <f t="shared" si="32"/>
        <v>2005</v>
      </c>
      <c r="W32" s="19">
        <f t="shared" si="33"/>
        <v>2.5329999999999999</v>
      </c>
      <c r="X32" s="19">
        <f t="shared" si="18"/>
        <v>1.3740000000000001</v>
      </c>
      <c r="Y32" s="19">
        <f t="shared" si="19"/>
        <v>1.544</v>
      </c>
      <c r="Z32" s="19">
        <f t="shared" si="20"/>
        <v>1.3640000000000001</v>
      </c>
      <c r="AA32" s="19">
        <f t="shared" si="21"/>
        <v>1.127</v>
      </c>
      <c r="AB32" s="19">
        <f t="shared" si="22"/>
        <v>1.0760000000000001</v>
      </c>
      <c r="AC32" s="19">
        <f t="shared" si="23"/>
        <v>1.0249999999999999</v>
      </c>
      <c r="AD32" s="19">
        <f t="shared" si="24"/>
        <v>1.0469999999999999</v>
      </c>
      <c r="AE32" s="19">
        <f t="shared" si="25"/>
        <v>1.0469999999999999</v>
      </c>
      <c r="AF32" s="19">
        <f t="shared" si="26"/>
        <v>1.32</v>
      </c>
      <c r="AG32" s="19">
        <f t="shared" si="27"/>
        <v>0.98899999999999999</v>
      </c>
      <c r="AH32" s="1"/>
      <c r="AI32" s="1"/>
      <c r="AJ32" s="1"/>
      <c r="AK32" s="1"/>
    </row>
    <row r="33" spans="1:37" customFormat="1">
      <c r="A33" s="25">
        <f t="shared" si="30"/>
        <v>2006</v>
      </c>
      <c r="B33" s="19">
        <f t="shared" si="31"/>
        <v>1.7729999999999999</v>
      </c>
      <c r="C33" s="19">
        <f t="shared" si="17"/>
        <v>2.2490000000000001</v>
      </c>
      <c r="D33" s="19">
        <f t="shared" si="17"/>
        <v>1.681</v>
      </c>
      <c r="E33" s="19">
        <f t="shared" si="17"/>
        <v>1.163</v>
      </c>
      <c r="F33" s="19">
        <f t="shared" si="17"/>
        <v>1.1539999999999999</v>
      </c>
      <c r="G33" s="19">
        <f t="shared" si="17"/>
        <v>1.0469999999999999</v>
      </c>
      <c r="H33" s="19">
        <f t="shared" si="17"/>
        <v>1.0429999999999999</v>
      </c>
      <c r="I33" s="19">
        <f t="shared" si="17"/>
        <v>1.0669999999999999</v>
      </c>
      <c r="J33" s="19">
        <f t="shared" si="17"/>
        <v>1.022</v>
      </c>
      <c r="K33" s="19">
        <f t="shared" si="17"/>
        <v>1.1080000000000001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25">
        <f t="shared" si="32"/>
        <v>2006</v>
      </c>
      <c r="W33" s="19">
        <f t="shared" si="33"/>
        <v>1.7729999999999999</v>
      </c>
      <c r="X33" s="19">
        <f t="shared" si="18"/>
        <v>2.2490000000000001</v>
      </c>
      <c r="Y33" s="19">
        <f t="shared" si="19"/>
        <v>1.681</v>
      </c>
      <c r="Z33" s="19">
        <f t="shared" si="20"/>
        <v>1.163</v>
      </c>
      <c r="AA33" s="19">
        <f t="shared" si="21"/>
        <v>1.1539999999999999</v>
      </c>
      <c r="AB33" s="19">
        <f t="shared" si="22"/>
        <v>1.0469999999999999</v>
      </c>
      <c r="AC33" s="19">
        <f t="shared" si="23"/>
        <v>1.0429999999999999</v>
      </c>
      <c r="AD33" s="19">
        <f t="shared" si="24"/>
        <v>1.0669999999999999</v>
      </c>
      <c r="AE33" s="19">
        <f t="shared" si="25"/>
        <v>1.022</v>
      </c>
      <c r="AF33" s="19">
        <f t="shared" si="26"/>
        <v>1.1080000000000001</v>
      </c>
      <c r="AG33" s="1"/>
      <c r="AH33" s="1"/>
      <c r="AI33" s="1"/>
      <c r="AJ33" s="1"/>
      <c r="AK33" s="1"/>
    </row>
    <row r="34" spans="1:37" customFormat="1">
      <c r="A34" s="25">
        <f t="shared" si="30"/>
        <v>2007</v>
      </c>
      <c r="B34" s="19">
        <f t="shared" si="31"/>
        <v>2.0409999999999999</v>
      </c>
      <c r="C34" s="19">
        <f t="shared" si="17"/>
        <v>1.8280000000000001</v>
      </c>
      <c r="D34" s="19">
        <f t="shared" si="17"/>
        <v>1.39</v>
      </c>
      <c r="E34" s="19">
        <f t="shared" si="17"/>
        <v>1.32</v>
      </c>
      <c r="F34" s="19">
        <f t="shared" si="17"/>
        <v>1.1020000000000001</v>
      </c>
      <c r="G34" s="19">
        <f t="shared" si="17"/>
        <v>1.0429999999999999</v>
      </c>
      <c r="H34" s="19">
        <f t="shared" si="17"/>
        <v>1.095</v>
      </c>
      <c r="I34" s="19">
        <f t="shared" si="17"/>
        <v>1.147</v>
      </c>
      <c r="J34" s="19">
        <f t="shared" si="17"/>
        <v>0.98199999999999998</v>
      </c>
      <c r="K34" s="19"/>
      <c r="L34" s="19"/>
      <c r="M34" s="19"/>
      <c r="N34" s="19"/>
      <c r="O34" s="19"/>
      <c r="P34" s="19"/>
      <c r="Q34" s="1"/>
      <c r="R34" s="1"/>
      <c r="S34" s="1"/>
      <c r="T34" s="1"/>
      <c r="U34" s="1"/>
      <c r="V34" s="25">
        <f t="shared" si="32"/>
        <v>2007</v>
      </c>
      <c r="W34" s="19">
        <f t="shared" si="33"/>
        <v>2.0409999999999999</v>
      </c>
      <c r="X34" s="19">
        <f t="shared" si="18"/>
        <v>1.8280000000000001</v>
      </c>
      <c r="Y34" s="19">
        <f t="shared" si="19"/>
        <v>1.39</v>
      </c>
      <c r="Z34" s="19">
        <f t="shared" si="20"/>
        <v>1.32</v>
      </c>
      <c r="AA34" s="19">
        <f t="shared" si="21"/>
        <v>1.1020000000000001</v>
      </c>
      <c r="AB34" s="19">
        <f t="shared" si="22"/>
        <v>1.0429999999999999</v>
      </c>
      <c r="AC34" s="19">
        <f t="shared" si="23"/>
        <v>1.095</v>
      </c>
      <c r="AD34" s="19">
        <f t="shared" si="24"/>
        <v>1.147</v>
      </c>
      <c r="AE34" s="19">
        <f t="shared" si="25"/>
        <v>0.98199999999999998</v>
      </c>
      <c r="AF34" s="19"/>
      <c r="AG34" s="19"/>
      <c r="AH34" s="19"/>
      <c r="AI34" s="19"/>
      <c r="AJ34" s="19"/>
      <c r="AK34" s="19"/>
    </row>
    <row r="35" spans="1:37" customFormat="1">
      <c r="A35" s="25">
        <f t="shared" si="30"/>
        <v>2008</v>
      </c>
      <c r="B35" s="19">
        <f t="shared" si="31"/>
        <v>2.3210000000000002</v>
      </c>
      <c r="C35" s="19">
        <f t="shared" si="17"/>
        <v>1.694</v>
      </c>
      <c r="D35" s="19">
        <f t="shared" si="17"/>
        <v>1.2709999999999999</v>
      </c>
      <c r="E35" s="19">
        <f t="shared" si="17"/>
        <v>1.075</v>
      </c>
      <c r="F35" s="19">
        <f t="shared" si="17"/>
        <v>1.0629999999999999</v>
      </c>
      <c r="G35" s="19">
        <f t="shared" si="17"/>
        <v>1.0980000000000001</v>
      </c>
      <c r="H35" s="19">
        <f t="shared" si="17"/>
        <v>1.1779999999999999</v>
      </c>
      <c r="I35" s="19">
        <f t="shared" si="17"/>
        <v>1.038</v>
      </c>
      <c r="J35" s="19"/>
      <c r="K35" s="19"/>
      <c r="L35" s="19"/>
      <c r="M35" s="19"/>
      <c r="N35" s="19"/>
      <c r="O35" s="19"/>
      <c r="P35" s="19"/>
      <c r="Q35" s="1"/>
      <c r="R35" s="1"/>
      <c r="S35" s="1"/>
      <c r="T35" s="1"/>
      <c r="U35" s="1"/>
      <c r="V35" s="25">
        <f t="shared" si="32"/>
        <v>2008</v>
      </c>
      <c r="W35" s="19">
        <f t="shared" si="33"/>
        <v>2.3210000000000002</v>
      </c>
      <c r="X35" s="19">
        <f t="shared" si="18"/>
        <v>1.694</v>
      </c>
      <c r="Y35" s="19">
        <f t="shared" si="19"/>
        <v>1.2709999999999999</v>
      </c>
      <c r="Z35" s="19">
        <f t="shared" si="20"/>
        <v>1.075</v>
      </c>
      <c r="AA35" s="19">
        <f t="shared" si="21"/>
        <v>1.0629999999999999</v>
      </c>
      <c r="AB35" s="19">
        <f t="shared" si="22"/>
        <v>1.0980000000000001</v>
      </c>
      <c r="AC35" s="19">
        <f t="shared" si="23"/>
        <v>1.1779999999999999</v>
      </c>
      <c r="AD35" s="19">
        <f t="shared" si="24"/>
        <v>1.038</v>
      </c>
      <c r="AE35" s="19"/>
      <c r="AF35" s="19"/>
      <c r="AG35" s="19"/>
      <c r="AH35" s="19"/>
      <c r="AI35" s="19"/>
      <c r="AJ35" s="19"/>
      <c r="AK35" s="19"/>
    </row>
    <row r="36" spans="1:37" customFormat="1">
      <c r="A36" s="25">
        <f t="shared" si="30"/>
        <v>2009</v>
      </c>
      <c r="B36" s="19">
        <f t="shared" si="31"/>
        <v>2.0049999999999999</v>
      </c>
      <c r="C36" s="19">
        <f t="shared" si="17"/>
        <v>1.333</v>
      </c>
      <c r="D36" s="19">
        <f t="shared" si="17"/>
        <v>1.153</v>
      </c>
      <c r="E36" s="19">
        <f t="shared" si="17"/>
        <v>1.4319999999999999</v>
      </c>
      <c r="F36" s="19">
        <f t="shared" si="17"/>
        <v>1.071</v>
      </c>
      <c r="G36" s="19">
        <f t="shared" si="17"/>
        <v>1.0349999999999999</v>
      </c>
      <c r="H36" s="19">
        <f t="shared" si="17"/>
        <v>1.0049999999999999</v>
      </c>
      <c r="I36" s="19"/>
      <c r="J36" s="19"/>
      <c r="K36" s="19"/>
      <c r="L36" s="19"/>
      <c r="M36" s="19"/>
      <c r="N36" s="19"/>
      <c r="O36" s="19"/>
      <c r="P36" s="19"/>
      <c r="Q36" s="1"/>
      <c r="R36" s="1"/>
      <c r="S36" s="1"/>
      <c r="T36" s="1"/>
      <c r="U36" s="1"/>
      <c r="V36" s="25">
        <f t="shared" si="32"/>
        <v>2009</v>
      </c>
      <c r="W36" s="19">
        <f t="shared" si="33"/>
        <v>2.0049999999999999</v>
      </c>
      <c r="X36" s="19">
        <f t="shared" si="18"/>
        <v>1.333</v>
      </c>
      <c r="Y36" s="19">
        <f t="shared" si="19"/>
        <v>1.153</v>
      </c>
      <c r="Z36" s="19">
        <f t="shared" si="20"/>
        <v>1.4319999999999999</v>
      </c>
      <c r="AA36" s="19">
        <f t="shared" si="21"/>
        <v>1.071</v>
      </c>
      <c r="AB36" s="19">
        <f t="shared" si="22"/>
        <v>1.0349999999999999</v>
      </c>
      <c r="AC36" s="19">
        <f t="shared" si="23"/>
        <v>1.0049999999999999</v>
      </c>
      <c r="AD36" s="19"/>
      <c r="AE36" s="19"/>
      <c r="AF36" s="19"/>
      <c r="AG36" s="19"/>
      <c r="AH36" s="19"/>
      <c r="AI36" s="19"/>
      <c r="AJ36" s="19"/>
      <c r="AK36" s="19"/>
    </row>
    <row r="37" spans="1:37" customFormat="1">
      <c r="A37" s="25">
        <f t="shared" si="30"/>
        <v>2010</v>
      </c>
      <c r="B37" s="19">
        <f t="shared" si="31"/>
        <v>2.1869999999999998</v>
      </c>
      <c r="C37" s="19">
        <f t="shared" si="17"/>
        <v>1.84</v>
      </c>
      <c r="D37" s="19">
        <f t="shared" si="17"/>
        <v>2.0049999999999999</v>
      </c>
      <c r="E37" s="19">
        <f t="shared" si="17"/>
        <v>1.1859999999999999</v>
      </c>
      <c r="F37" s="19">
        <f t="shared" si="17"/>
        <v>1.0580000000000001</v>
      </c>
      <c r="G37" s="19">
        <f t="shared" si="17"/>
        <v>1.0349999999999999</v>
      </c>
      <c r="H37" s="19"/>
      <c r="I37" s="19"/>
      <c r="J37" s="19"/>
      <c r="K37" s="19"/>
      <c r="L37" s="19"/>
      <c r="M37" s="19"/>
      <c r="N37" s="19"/>
      <c r="O37" s="19"/>
      <c r="P37" s="19"/>
      <c r="Q37" s="1"/>
      <c r="R37" s="1"/>
      <c r="S37" s="1"/>
      <c r="T37" s="1"/>
      <c r="U37" s="1"/>
      <c r="V37" s="25">
        <f t="shared" si="32"/>
        <v>2010</v>
      </c>
      <c r="W37" s="19">
        <f t="shared" si="33"/>
        <v>2.1869999999999998</v>
      </c>
      <c r="X37" s="19">
        <f t="shared" si="18"/>
        <v>1.84</v>
      </c>
      <c r="Y37" s="19">
        <f t="shared" si="19"/>
        <v>2.0049999999999999</v>
      </c>
      <c r="Z37" s="19">
        <f t="shared" si="20"/>
        <v>1.1859999999999999</v>
      </c>
      <c r="AA37" s="19">
        <f t="shared" si="21"/>
        <v>1.0580000000000001</v>
      </c>
      <c r="AB37" s="19">
        <f t="shared" si="22"/>
        <v>1.0349999999999999</v>
      </c>
      <c r="AC37" s="19"/>
      <c r="AD37" s="19"/>
      <c r="AE37" s="19"/>
      <c r="AF37" s="19"/>
      <c r="AG37" s="19"/>
      <c r="AH37" s="19"/>
      <c r="AI37" s="19"/>
      <c r="AJ37" s="19"/>
      <c r="AK37" s="19"/>
    </row>
    <row r="38" spans="1:37" customFormat="1">
      <c r="A38" s="25">
        <f t="shared" si="30"/>
        <v>2011</v>
      </c>
      <c r="B38" s="19">
        <f t="shared" si="31"/>
        <v>4.16</v>
      </c>
      <c r="C38" s="19">
        <f t="shared" si="17"/>
        <v>1.766</v>
      </c>
      <c r="D38" s="19">
        <f t="shared" si="17"/>
        <v>1.64</v>
      </c>
      <c r="E38" s="19">
        <f t="shared" si="17"/>
        <v>1.9139999999999999</v>
      </c>
      <c r="F38" s="19">
        <f t="shared" si="17"/>
        <v>1.123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"/>
      <c r="R38" s="1"/>
      <c r="S38" s="1"/>
      <c r="T38" s="1"/>
      <c r="U38" s="1"/>
      <c r="V38" s="25">
        <f t="shared" si="32"/>
        <v>2011</v>
      </c>
      <c r="W38" s="19">
        <f t="shared" si="33"/>
        <v>4.16</v>
      </c>
      <c r="X38" s="19">
        <f t="shared" si="18"/>
        <v>1.766</v>
      </c>
      <c r="Y38" s="19">
        <f t="shared" si="19"/>
        <v>1.64</v>
      </c>
      <c r="Z38" s="19">
        <f t="shared" si="20"/>
        <v>1.9139999999999999</v>
      </c>
      <c r="AA38" s="19">
        <f t="shared" si="21"/>
        <v>1.123</v>
      </c>
      <c r="AB38" s="19"/>
      <c r="AC38" s="19"/>
      <c r="AD38" s="19"/>
      <c r="AE38" s="19"/>
      <c r="AF38" s="19"/>
      <c r="AG38" s="19"/>
      <c r="AH38" s="19"/>
      <c r="AI38" s="19"/>
      <c r="AJ38" s="19"/>
      <c r="AK38" s="19"/>
    </row>
    <row r="39" spans="1:37" customFormat="1">
      <c r="A39" s="25">
        <f t="shared" si="30"/>
        <v>2012</v>
      </c>
      <c r="B39" s="19">
        <f t="shared" si="31"/>
        <v>1.849</v>
      </c>
      <c r="C39" s="19">
        <f t="shared" si="17"/>
        <v>1.137</v>
      </c>
      <c r="D39" s="19">
        <f t="shared" si="17"/>
        <v>1.4319999999999999</v>
      </c>
      <c r="E39" s="19">
        <f t="shared" si="17"/>
        <v>1.5049999999999999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"/>
      <c r="R39" s="1"/>
      <c r="S39" s="1"/>
      <c r="T39" s="1"/>
      <c r="U39" s="1"/>
      <c r="V39" s="25">
        <f t="shared" si="32"/>
        <v>2012</v>
      </c>
      <c r="W39" s="19">
        <f t="shared" si="33"/>
        <v>1.849</v>
      </c>
      <c r="X39" s="19">
        <f t="shared" si="18"/>
        <v>1.137</v>
      </c>
      <c r="Y39" s="19">
        <f t="shared" si="19"/>
        <v>1.4319999999999999</v>
      </c>
      <c r="Z39" s="19">
        <f t="shared" si="20"/>
        <v>1.5049999999999999</v>
      </c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customFormat="1">
      <c r="A40" s="25">
        <f t="shared" si="30"/>
        <v>2013</v>
      </c>
      <c r="B40" s="19">
        <f t="shared" si="31"/>
        <v>2.661</v>
      </c>
      <c r="C40" s="19">
        <f t="shared" si="17"/>
        <v>1.492</v>
      </c>
      <c r="D40" s="19">
        <f t="shared" si="17"/>
        <v>1.3129999999999999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"/>
      <c r="R40" s="1"/>
      <c r="S40" s="1"/>
      <c r="T40" s="1"/>
      <c r="U40" s="1"/>
      <c r="V40" s="25">
        <f t="shared" si="32"/>
        <v>2013</v>
      </c>
      <c r="W40" s="19">
        <f t="shared" si="33"/>
        <v>2.661</v>
      </c>
      <c r="X40" s="19">
        <f t="shared" si="18"/>
        <v>1.492</v>
      </c>
      <c r="Y40" s="19">
        <f t="shared" si="19"/>
        <v>1.3129999999999999</v>
      </c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  <row r="41" spans="1:37" customFormat="1">
      <c r="A41" s="25">
        <f t="shared" si="30"/>
        <v>2014</v>
      </c>
      <c r="B41" s="19">
        <f t="shared" si="31"/>
        <v>2.3660000000000001</v>
      </c>
      <c r="C41" s="19">
        <f t="shared" si="17"/>
        <v>2.0640000000000001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"/>
      <c r="R41" s="1"/>
      <c r="S41" s="1"/>
      <c r="T41" s="1"/>
      <c r="U41" s="1"/>
      <c r="V41" s="25">
        <f t="shared" si="32"/>
        <v>2014</v>
      </c>
      <c r="W41" s="19">
        <f t="shared" si="33"/>
        <v>2.3660000000000001</v>
      </c>
      <c r="X41" s="19">
        <f t="shared" si="18"/>
        <v>2.0640000000000001</v>
      </c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</row>
    <row r="42" spans="1:37" customFormat="1">
      <c r="A42" s="25">
        <f t="shared" si="30"/>
        <v>2015</v>
      </c>
      <c r="B42" s="19">
        <f t="shared" si="31"/>
        <v>1.821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1"/>
      <c r="R42" s="1"/>
      <c r="S42" s="1"/>
      <c r="T42" s="1"/>
      <c r="U42" s="1"/>
      <c r="V42" s="25">
        <f t="shared" si="32"/>
        <v>2015</v>
      </c>
      <c r="W42" s="19">
        <f t="shared" si="33"/>
        <v>1.821</v>
      </c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</row>
    <row r="43" spans="1:37" customFormat="1">
      <c r="A43" s="26">
        <f t="shared" si="30"/>
        <v>2016</v>
      </c>
      <c r="B43" s="331"/>
      <c r="C43" s="332"/>
      <c r="D43" s="332"/>
      <c r="E43" s="332"/>
      <c r="F43" s="332"/>
      <c r="G43" s="332"/>
      <c r="H43" s="332"/>
      <c r="I43" s="332"/>
      <c r="J43" s="332"/>
      <c r="K43" s="332"/>
      <c r="L43" s="332"/>
      <c r="M43" s="332"/>
      <c r="N43" s="332"/>
      <c r="O43" s="332"/>
      <c r="P43" s="332"/>
      <c r="Q43" s="333"/>
      <c r="R43" s="1"/>
      <c r="S43" s="1"/>
      <c r="T43" s="1"/>
      <c r="U43" s="1"/>
      <c r="V43" s="26">
        <f t="shared" si="32"/>
        <v>2016</v>
      </c>
      <c r="W43" s="331"/>
      <c r="X43" s="332"/>
      <c r="Y43" s="332"/>
      <c r="Z43" s="332"/>
      <c r="AA43" s="332"/>
      <c r="AB43" s="332"/>
      <c r="AC43" s="332"/>
      <c r="AD43" s="332"/>
      <c r="AE43" s="332"/>
      <c r="AF43" s="332"/>
      <c r="AG43" s="332"/>
      <c r="AH43" s="332"/>
      <c r="AI43" s="332"/>
      <c r="AJ43" s="332"/>
      <c r="AK43" s="332"/>
    </row>
    <row r="44" spans="1:37" customFormat="1">
      <c r="A44" s="11"/>
      <c r="B44" s="28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1"/>
      <c r="R44" s="1"/>
      <c r="S44" s="1"/>
      <c r="T44" s="1"/>
      <c r="U44" s="1"/>
      <c r="V44" s="11"/>
      <c r="W44" s="28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</row>
    <row r="45" spans="1:37" customFormat="1">
      <c r="A45" s="29" t="s">
        <v>24</v>
      </c>
      <c r="B45" s="2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9" t="s">
        <v>24</v>
      </c>
      <c r="W45" s="29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customFormat="1">
      <c r="A46" s="29" t="s">
        <v>25</v>
      </c>
      <c r="B46" s="19">
        <f>ROUND(AVERAGE(B40:B42),3)</f>
        <v>2.2829999999999999</v>
      </c>
      <c r="C46" s="19">
        <f>ROUND(AVERAGE(C39:C41),3)</f>
        <v>1.5640000000000001</v>
      </c>
      <c r="D46" s="19">
        <f>ROUND(AVERAGE(D38:D40),3)</f>
        <v>1.462</v>
      </c>
      <c r="E46" s="19">
        <f>ROUND(AVERAGE(E37:E39),3)</f>
        <v>1.5349999999999999</v>
      </c>
      <c r="F46" s="19">
        <f>ROUND(AVERAGE(F36:F38),3)</f>
        <v>1.0840000000000001</v>
      </c>
      <c r="G46" s="19">
        <f>ROUND(AVERAGE(G35:G37),3)</f>
        <v>1.056</v>
      </c>
      <c r="H46" s="19">
        <f>ROUND(AVERAGE(H34:H36),3)</f>
        <v>1.093</v>
      </c>
      <c r="I46" s="19">
        <f>ROUND(AVERAGE(I33:I35),3)</f>
        <v>1.0840000000000001</v>
      </c>
      <c r="J46" s="19">
        <f>ROUND(AVERAGE(J32:J34),3)</f>
        <v>1.0169999999999999</v>
      </c>
      <c r="K46" s="19">
        <f>ROUND(AVERAGE(K31:K33),3)</f>
        <v>1.149</v>
      </c>
      <c r="L46" s="19">
        <f>ROUND(AVERAGE(L30:L32),3)</f>
        <v>1.0569999999999999</v>
      </c>
      <c r="M46" s="19">
        <f>ROUND(AVERAGE(M29:M31),3)</f>
        <v>1.0489999999999999</v>
      </c>
      <c r="N46" s="19"/>
      <c r="O46" s="19"/>
      <c r="P46" s="19"/>
      <c r="Q46" s="1"/>
      <c r="R46" s="1"/>
      <c r="S46" s="1"/>
      <c r="T46" s="1"/>
      <c r="U46" s="1"/>
      <c r="V46" s="29" t="s">
        <v>25</v>
      </c>
      <c r="W46" s="19">
        <f>ROUND(AVERAGE(W40:W42),3)</f>
        <v>2.2829999999999999</v>
      </c>
      <c r="X46" s="19">
        <f>ROUND(AVERAGE(X39:X41),3)</f>
        <v>1.5640000000000001</v>
      </c>
      <c r="Y46" s="19">
        <f>ROUND(AVERAGE(Y38:Y40),3)</f>
        <v>1.462</v>
      </c>
      <c r="Z46" s="19">
        <f>ROUND(AVERAGE(Z37:Z39),3)</f>
        <v>1.5349999999999999</v>
      </c>
      <c r="AA46" s="19">
        <f>ROUND(AVERAGE(AA36:AA38),3)</f>
        <v>1.0840000000000001</v>
      </c>
      <c r="AB46" s="19">
        <f>ROUND(AVERAGE(AB35:AB37),3)</f>
        <v>1.056</v>
      </c>
      <c r="AC46" s="19">
        <f>ROUND(AVERAGE(AC34:AC36),3)</f>
        <v>1.093</v>
      </c>
      <c r="AD46" s="19">
        <f>ROUND(AVERAGE(AD33:AD35),3)</f>
        <v>1.0840000000000001</v>
      </c>
      <c r="AE46" s="19">
        <f>ROUND(AVERAGE(AE32:AE34),3)</f>
        <v>1.0169999999999999</v>
      </c>
      <c r="AF46" s="19">
        <f>ROUND(AVERAGE(AF31:AF33),3)</f>
        <v>1.149</v>
      </c>
      <c r="AG46" s="19">
        <f>ROUND(AVERAGE(AG30:AG32),3)</f>
        <v>1.0569999999999999</v>
      </c>
      <c r="AH46" s="19">
        <f>ROUND(AVERAGE(AH29:AH31),3)</f>
        <v>1.0489999999999999</v>
      </c>
      <c r="AI46" s="19"/>
      <c r="AJ46" s="19"/>
      <c r="AK46" s="19"/>
    </row>
    <row r="47" spans="1:37" customFormat="1">
      <c r="A47" s="29" t="s">
        <v>26</v>
      </c>
      <c r="B47" s="19">
        <f>ROUND(AVERAGE(B38:B42),3)</f>
        <v>2.5710000000000002</v>
      </c>
      <c r="C47" s="19">
        <f>ROUND(AVERAGE(C37:C41),3)</f>
        <v>1.66</v>
      </c>
      <c r="D47" s="19">
        <f>ROUND(AVERAGE(D36:D40),3)</f>
        <v>1.5089999999999999</v>
      </c>
      <c r="E47" s="19">
        <f>ROUND(AVERAGE(E35:E39),3)</f>
        <v>1.4219999999999999</v>
      </c>
      <c r="F47" s="19">
        <f>ROUND(AVERAGE(F34:F38),3)</f>
        <v>1.083</v>
      </c>
      <c r="G47" s="19">
        <f>ROUND(AVERAGE(G33:G37),3)</f>
        <v>1.052</v>
      </c>
      <c r="H47" s="19">
        <f>ROUND(AVERAGE(H32:H36),3)</f>
        <v>1.069</v>
      </c>
      <c r="I47" s="19">
        <f>ROUND(AVERAGE(I31:I35),3)</f>
        <v>1.06</v>
      </c>
      <c r="J47" s="19">
        <f>ROUND(AVERAGE(J30:J34),3)</f>
        <v>1.0109999999999999</v>
      </c>
      <c r="K47" s="19">
        <f>ROUND(AVERAGE(K29:K33),3)</f>
        <v>1.115</v>
      </c>
      <c r="L47" s="19">
        <f>ROUND(AVERAGE(L28:L32),3)</f>
        <v>1.0569999999999999</v>
      </c>
      <c r="M47" s="19"/>
      <c r="N47" s="19"/>
      <c r="O47" s="19"/>
      <c r="P47" s="19"/>
      <c r="Q47" s="1"/>
      <c r="R47" s="1"/>
      <c r="S47" s="1"/>
      <c r="T47" s="1"/>
      <c r="U47" s="1"/>
      <c r="V47" s="29" t="s">
        <v>26</v>
      </c>
      <c r="W47" s="19">
        <f>ROUND(AVERAGE(W38:W42),3)</f>
        <v>2.5710000000000002</v>
      </c>
      <c r="X47" s="19">
        <f>ROUND(AVERAGE(X37:X41),3)</f>
        <v>1.66</v>
      </c>
      <c r="Y47" s="19">
        <f>ROUND(AVERAGE(Y36:Y40),3)</f>
        <v>1.5089999999999999</v>
      </c>
      <c r="Z47" s="19">
        <f>ROUND(AVERAGE(Z35:Z39),3)</f>
        <v>1.4219999999999999</v>
      </c>
      <c r="AA47" s="19">
        <f>ROUND(AVERAGE(AA34:AA38),3)</f>
        <v>1.083</v>
      </c>
      <c r="AB47" s="19">
        <f>ROUND(AVERAGE(AB33:AB37),3)</f>
        <v>1.052</v>
      </c>
      <c r="AC47" s="19">
        <f>ROUND(AVERAGE(AC32:AC36),3)</f>
        <v>1.069</v>
      </c>
      <c r="AD47" s="19">
        <f>ROUND(AVERAGE(AD31:AD35),3)</f>
        <v>1.06</v>
      </c>
      <c r="AE47" s="19">
        <f>ROUND(AVERAGE(AE30:AE34),3)</f>
        <v>1.0109999999999999</v>
      </c>
      <c r="AF47" s="19">
        <f>ROUND(AVERAGE(AF29:AF33),3)</f>
        <v>1.115</v>
      </c>
      <c r="AG47" s="19">
        <f>ROUND(AVERAGE(AG28:AG32),3)</f>
        <v>1.0569999999999999</v>
      </c>
      <c r="AH47" s="19"/>
      <c r="AI47" s="19"/>
      <c r="AJ47" s="19"/>
      <c r="AK47" s="19"/>
    </row>
    <row r="48" spans="1:37" customFormat="1">
      <c r="A48" s="29" t="s">
        <v>27</v>
      </c>
      <c r="B48" s="19">
        <f>ROUND((SUM(B38:B42)-MAX(B38:B42)-MIN(B38:B42))/3,3)</f>
        <v>2.2919999999999998</v>
      </c>
      <c r="C48" s="19">
        <f>ROUND((SUM(C37:C41)-MAX(C37:C41)-MIN(C37:C41))/3,3)</f>
        <v>1.6990000000000001</v>
      </c>
      <c r="D48" s="19">
        <f>ROUND((SUM(D36:D40)-MAX(D36:D40)-MIN(D36:D40))/3,3)</f>
        <v>1.462</v>
      </c>
      <c r="E48" s="19">
        <f>ROUND((SUM(E35:E39)-MAX(E35:E39)-MIN(E35:E39))/3,3)</f>
        <v>1.3740000000000001</v>
      </c>
      <c r="F48" s="19">
        <f>ROUND((SUM(F34:F38)-MAX(F34:F38)-MIN(F34:F38))/3,3)</f>
        <v>1.079</v>
      </c>
      <c r="G48" s="19">
        <f>ROUND((SUM(G33:G37)-MAX(G33:G37)-MIN(G33:G37))/3,3)</f>
        <v>1.042</v>
      </c>
      <c r="H48" s="19">
        <f>ROUND((SUM(H32:H36)-MAX(H32:H36)-MIN(H32:H36))/3,3)</f>
        <v>1.054</v>
      </c>
      <c r="I48" s="19">
        <f>ROUND((SUM(I31:I35)-MAX(I31:I35)-MIN(I31:I35))/3,3)</f>
        <v>1.0509999999999999</v>
      </c>
      <c r="J48" s="19">
        <f>ROUND((SUM(J30:J34)-MAX(J30:J34)-MIN(J30:J34))/3,3)</f>
        <v>1.008</v>
      </c>
      <c r="K48" s="19">
        <f>ROUND((SUM(K29:K33)-MAX(K29:K33)-MIN(K29:K33))/3,3)</f>
        <v>1.0820000000000001</v>
      </c>
      <c r="L48" s="214">
        <f>ROUND((SUM(L28:L32)-MAX(L28:L32)-MIN(L28:L32))/3,3)</f>
        <v>0.69099999999999995</v>
      </c>
      <c r="M48" s="1"/>
      <c r="N48" s="19"/>
      <c r="O48" s="19"/>
      <c r="P48" s="19"/>
      <c r="Q48" s="28"/>
      <c r="R48" s="1"/>
      <c r="S48" s="1"/>
      <c r="T48" s="1"/>
      <c r="U48" s="1"/>
      <c r="V48" s="29" t="s">
        <v>27</v>
      </c>
      <c r="W48" s="19">
        <f>ROUND((SUM(W38:W42)-MAX(W38:W42)-MIN(W38:W42))/3,3)</f>
        <v>2.2919999999999998</v>
      </c>
      <c r="X48" s="19">
        <f>ROUND((SUM(X37:X41)-MAX(X37:X41)-MIN(X37:X41))/3,3)</f>
        <v>1.6990000000000001</v>
      </c>
      <c r="Y48" s="19">
        <f>ROUND((SUM(Y36:Y40)-MAX(Y36:Y40)-MIN(Y36:Y40))/3,3)</f>
        <v>1.462</v>
      </c>
      <c r="Z48" s="19">
        <f>ROUND((SUM(Z35:Z39)-MAX(Z35:Z39)-MIN(Z35:Z39))/3,3)</f>
        <v>1.3740000000000001</v>
      </c>
      <c r="AA48" s="19">
        <f>ROUND((SUM(AA34:AA38)-MAX(AA34:AA38)-MIN(AA34:AA38))/3,3)</f>
        <v>1.079</v>
      </c>
      <c r="AB48" s="19">
        <f>ROUND((SUM(AB33:AB37)-MAX(AB33:AB37)-MIN(AB33:AB37))/3,3)</f>
        <v>1.042</v>
      </c>
      <c r="AC48" s="19">
        <f>ROUND((SUM(AC32:AC36)-MAX(AC32:AC36)-MIN(AC32:AC36))/3,3)</f>
        <v>1.054</v>
      </c>
      <c r="AD48" s="19">
        <f>ROUND((SUM(AD31:AD35)-MAX(AD31:AD35)-MIN(AD31:AD35))/3,3)</f>
        <v>1.0509999999999999</v>
      </c>
      <c r="AE48" s="19">
        <f>ROUND((SUM(AE30:AE34)-MAX(AE30:AE34)-MIN(AE30:AE34))/3,3)</f>
        <v>1.008</v>
      </c>
      <c r="AF48" s="19">
        <f>ROUND((SUM(AF29:AF33)-MAX(AF29:AF33)-MIN(AF29:AF33))/3,3)</f>
        <v>1.0820000000000001</v>
      </c>
      <c r="AG48" s="214">
        <f>ROUND((SUM(AG28:AG32)-MAX(AG28:AG32)-MIN(AG28:AG32))/3,3)</f>
        <v>0.69099999999999995</v>
      </c>
      <c r="AH48" s="1"/>
      <c r="AI48" s="19"/>
      <c r="AJ48" s="19"/>
      <c r="AK48" s="19"/>
    </row>
    <row r="49" spans="1:37" customFormat="1">
      <c r="A49" s="30" t="s">
        <v>28</v>
      </c>
      <c r="B49" s="19">
        <f>AVERAGE(B28:B43)</f>
        <v>2.5354999999999999</v>
      </c>
      <c r="C49" s="19">
        <f>AVERAGE(C27:C42)</f>
        <v>1.7423846153846154</v>
      </c>
      <c r="D49" s="19">
        <f>AVERAGE(D26:D41)</f>
        <v>1.432666666666667</v>
      </c>
      <c r="E49" s="19">
        <f>AVERAGE(E25:E40)</f>
        <v>1.3161818181818183</v>
      </c>
      <c r="F49" s="19">
        <f>AVERAGE(F25:F39)</f>
        <v>1.0803999999999998</v>
      </c>
      <c r="G49" s="19">
        <f>AVERAGE(G24:G38)</f>
        <v>1.0417777777777777</v>
      </c>
      <c r="H49" s="19">
        <f>AVERAGE(H23:H37)</f>
        <v>1.0462499999999999</v>
      </c>
      <c r="I49" s="19">
        <f>AVERAGE(I22:I36)</f>
        <v>1.0461428571428573</v>
      </c>
      <c r="J49" s="19">
        <f>AVERAGE(J21:J35)</f>
        <v>1.0115000000000001</v>
      </c>
      <c r="K49" s="19">
        <f>AVERAGE(K20:K34)</f>
        <v>1.1148</v>
      </c>
      <c r="L49" s="19">
        <f>AVERAGE(L19:L33)</f>
        <v>1.0565</v>
      </c>
      <c r="M49" s="19">
        <f>AVERAGE(M18:M32)</f>
        <v>1.0490000000000002</v>
      </c>
      <c r="N49" s="19">
        <f>AVERAGE(N17:N31)</f>
        <v>1.002</v>
      </c>
      <c r="O49" s="19">
        <f>AVERAGE(O17:O31)</f>
        <v>1</v>
      </c>
      <c r="P49" s="19"/>
      <c r="Q49" s="28"/>
      <c r="R49" s="1"/>
      <c r="S49" s="1"/>
      <c r="T49" s="1"/>
      <c r="V49" s="30" t="s">
        <v>28</v>
      </c>
      <c r="W49" s="19">
        <f>AVERAGE(W28:W43)</f>
        <v>2.5354999999999999</v>
      </c>
      <c r="X49" s="19">
        <f>AVERAGE(X27:X42)</f>
        <v>1.7423846153846154</v>
      </c>
      <c r="Y49" s="19">
        <f>AVERAGE(Y26:Y41)</f>
        <v>1.432666666666667</v>
      </c>
      <c r="Z49" s="19">
        <f>AVERAGE(Z25:Z40)</f>
        <v>1.3161818181818183</v>
      </c>
      <c r="AA49" s="19">
        <f>AVERAGE(AA25:AA39)</f>
        <v>1.0803999999999998</v>
      </c>
      <c r="AB49" s="19">
        <f>AVERAGE(AB24:AB38)</f>
        <v>1.0417777777777777</v>
      </c>
      <c r="AC49" s="19">
        <f>AVERAGE(AC23:AC37)</f>
        <v>1.0462499999999999</v>
      </c>
      <c r="AD49" s="19">
        <f>AVERAGE(AD22:AD36)</f>
        <v>1.0461428571428573</v>
      </c>
      <c r="AE49" s="19">
        <f>AVERAGE(AE21:AE35)</f>
        <v>1.0115000000000001</v>
      </c>
      <c r="AF49" s="19">
        <f>AVERAGE(AF20:AF34)</f>
        <v>1.1148</v>
      </c>
      <c r="AG49" s="19">
        <f>AVERAGE(AG19:AG33)</f>
        <v>1.0565</v>
      </c>
      <c r="AH49" s="19">
        <f>AVERAGE(AH18:AH32)</f>
        <v>1.0490000000000002</v>
      </c>
      <c r="AI49" s="19">
        <f>AVERAGE(AI17:AI31)</f>
        <v>1.002</v>
      </c>
      <c r="AJ49" s="19">
        <f>AVERAGE(AJ17:AJ31)</f>
        <v>1</v>
      </c>
      <c r="AK49" s="19"/>
    </row>
    <row r="50" spans="1:37" customFormat="1">
      <c r="A50" s="3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8"/>
      <c r="R50" s="1"/>
      <c r="S50" s="1"/>
      <c r="T50" s="1"/>
      <c r="V50" s="3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</row>
    <row r="51" spans="1:37" customFormat="1">
      <c r="A51" s="29" t="s">
        <v>29</v>
      </c>
      <c r="B51" s="19">
        <f>ROUND(SUM(C21:C23)/SUM(B21:B23),3)</f>
        <v>2.2789999999999999</v>
      </c>
      <c r="C51" s="19">
        <f>ROUND(SUM(D20:D22)/SUM(C20:C22),3)</f>
        <v>1.4510000000000001</v>
      </c>
      <c r="D51" s="19">
        <f>ROUND(SUM(E19:E21)/SUM(D19:D21),3)</f>
        <v>1.4790000000000001</v>
      </c>
      <c r="E51" s="19">
        <f>ROUND(SUM(F18:F20)/SUM(E18:E20),3)</f>
        <v>1.569</v>
      </c>
      <c r="F51" s="19">
        <f>ROUND(SUM(G17:G19)/SUM(F17:F19),3)</f>
        <v>1.0960000000000001</v>
      </c>
      <c r="G51" s="19">
        <f>ROUND(SUM(H16:H18)/SUM(G16:G18),3)</f>
        <v>1.05</v>
      </c>
      <c r="H51" s="19">
        <f>ROUND(SUM(I15:I17)/SUM(H15:H17),3)</f>
        <v>1.0860000000000001</v>
      </c>
      <c r="I51" s="19">
        <f>ROUND(SUM(J14:J16)/SUM(I14:I16),3)</f>
        <v>1.0860000000000001</v>
      </c>
      <c r="J51" s="19">
        <f>ROUND(SUM(K13:K15)/SUM(J13:J15),3)</f>
        <v>1.018</v>
      </c>
      <c r="K51" s="19">
        <f>ROUND(SUM(L12:L14)/SUM(K12:K14),3)</f>
        <v>1.1419999999999999</v>
      </c>
      <c r="L51" s="19">
        <f>ROUND(SUM(M11:M13)/SUM(L11:L13),3)</f>
        <v>1.056</v>
      </c>
      <c r="M51" s="19">
        <f>ROUND(SUM(N10:N12)/SUM(M10:M12),3)</f>
        <v>1.038</v>
      </c>
      <c r="N51" s="19">
        <f>ROUND(SUM(O9:O11)/SUM(N9:N11),3)</f>
        <v>1.0029999999999999</v>
      </c>
      <c r="O51" s="19"/>
      <c r="P51" s="19"/>
      <c r="Q51" s="28"/>
      <c r="R51" s="1"/>
      <c r="S51" s="1"/>
      <c r="T51" s="1"/>
      <c r="V51" s="29" t="s">
        <v>29</v>
      </c>
      <c r="W51" s="19">
        <f>ROUND(SUM(X21:X23)/SUM(W21:W23),3)</f>
        <v>2.2789999999999999</v>
      </c>
      <c r="X51" s="19">
        <f>ROUND(SUM(Y20:Y22)/SUM(X20:X22),3)</f>
        <v>1.4510000000000001</v>
      </c>
      <c r="Y51" s="19">
        <f>ROUND(SUM(Z19:Z21)/SUM(Y19:Y21),3)</f>
        <v>1.4790000000000001</v>
      </c>
      <c r="Z51" s="19">
        <f>ROUND(SUM(AA18:AA20)/SUM(Z18:Z20),3)</f>
        <v>1.569</v>
      </c>
      <c r="AA51" s="19">
        <f>ROUND(SUM(AB17:AB19)/SUM(AA17:AA19),3)</f>
        <v>1.0960000000000001</v>
      </c>
      <c r="AB51" s="19">
        <f>ROUND(SUM(AC16:AC18)/SUM(AB16:AB18),3)</f>
        <v>1.05</v>
      </c>
      <c r="AC51" s="19">
        <f>ROUND(SUM(AD15:AD17)/SUM(AC15:AC17),3)</f>
        <v>1.0860000000000001</v>
      </c>
      <c r="AD51" s="19">
        <f>ROUND(SUM(AE14:AE16)/SUM(AD14:AD16),3)</f>
        <v>1.0860000000000001</v>
      </c>
      <c r="AE51" s="19">
        <f>ROUND(SUM(AF13:AF15)/SUM(AE13:AE15),3)</f>
        <v>1.018</v>
      </c>
      <c r="AF51" s="19">
        <f>ROUND(SUM(AG12:AG14)/SUM(AF12:AF14),3)</f>
        <v>1.1419999999999999</v>
      </c>
      <c r="AG51" s="19">
        <f>ROUND(SUM(AH11:AH13)/SUM(AG11:AG13),3)</f>
        <v>1.056</v>
      </c>
      <c r="AH51" s="19">
        <f>ROUND(SUM(AI10:AI12)/SUM(AH10:AH12),3)</f>
        <v>1.038</v>
      </c>
      <c r="AI51" s="19">
        <f>ROUND(SUM(AJ9:AJ11)/SUM(AI9:AI11),3)</f>
        <v>1.0029999999999999</v>
      </c>
      <c r="AJ51" s="19"/>
      <c r="AK51" s="19"/>
    </row>
    <row r="52" spans="1:37" customFormat="1">
      <c r="A52" s="29" t="s">
        <v>30</v>
      </c>
      <c r="B52" s="19">
        <f>ROUND(SUM(C19:C23)/SUM(B19:B23),3)</f>
        <v>2.3290000000000002</v>
      </c>
      <c r="C52" s="19">
        <f>ROUND(SUM(D18:D22)/SUM(C18:C22),3)</f>
        <v>1.5680000000000001</v>
      </c>
      <c r="D52" s="19">
        <f>ROUND(SUM(E17:E21)/SUM(D17:D21),3)</f>
        <v>1.5049999999999999</v>
      </c>
      <c r="E52" s="19">
        <f>ROUND(SUM(F16:F20)/SUM(E16:E20),3)</f>
        <v>1.4850000000000001</v>
      </c>
      <c r="F52" s="19">
        <f>ROUND(SUM(G15:G19)/SUM(F15:F19),3)</f>
        <v>1.0940000000000001</v>
      </c>
      <c r="G52" s="19">
        <f>ROUND(SUM(H14:H18)/SUM(G14:G18),3)</f>
        <v>1.048</v>
      </c>
      <c r="H52" s="19">
        <f>ROUND(SUM(I13:I17)/SUM(H13:H17),3)</f>
        <v>1.0609999999999999</v>
      </c>
      <c r="I52" s="19">
        <f>ROUND(SUM(J12:J16)/SUM(I12:I16),3)</f>
        <v>1.0569999999999999</v>
      </c>
      <c r="J52" s="19">
        <f>ROUND(SUM(K11:K15)/SUM(J11:J15),3)</f>
        <v>1.0109999999999999</v>
      </c>
      <c r="K52" s="19">
        <f>ROUND(SUM(L10:L14)/SUM(K10:K14),3)</f>
        <v>1.117</v>
      </c>
      <c r="L52" s="19">
        <f>ROUND(SUM(M9:M13)/SUM(L9:L13),3)</f>
        <v>1.056</v>
      </c>
      <c r="M52" s="1"/>
      <c r="N52" s="1"/>
      <c r="O52" s="1"/>
      <c r="P52" s="19"/>
      <c r="Q52" s="28"/>
      <c r="R52" s="1"/>
      <c r="S52" s="1"/>
      <c r="T52" s="1"/>
      <c r="V52" s="29" t="s">
        <v>30</v>
      </c>
      <c r="W52" s="19">
        <f>ROUND(SUM(X19:X23)/SUM(W19:W23),3)</f>
        <v>2.3290000000000002</v>
      </c>
      <c r="X52" s="19">
        <f>ROUND(SUM(Y18:Y22)/SUM(X18:X22),3)</f>
        <v>1.5680000000000001</v>
      </c>
      <c r="Y52" s="19">
        <f>ROUND(SUM(Z17:Z21)/SUM(Y17:Y21),3)</f>
        <v>1.5049999999999999</v>
      </c>
      <c r="Z52" s="19">
        <f>ROUND(SUM(AA16:AA20)/SUM(Z16:Z20),3)</f>
        <v>1.4850000000000001</v>
      </c>
      <c r="AA52" s="19">
        <f>ROUND(SUM(AB15:AB19)/SUM(AA15:AA19),3)</f>
        <v>1.0940000000000001</v>
      </c>
      <c r="AB52" s="19">
        <f>ROUND(SUM(AC14:AC18)/SUM(AB14:AB18),3)</f>
        <v>1.048</v>
      </c>
      <c r="AC52" s="19">
        <f>ROUND(SUM(AD13:AD17)/SUM(AC13:AC17),3)</f>
        <v>1.0609999999999999</v>
      </c>
      <c r="AD52" s="19">
        <f>ROUND(SUM(AE12:AE16)/SUM(AD12:AD16),3)</f>
        <v>1.0569999999999999</v>
      </c>
      <c r="AE52" s="19">
        <f>ROUND(SUM(AF11:AF15)/SUM(AE11:AE15),3)</f>
        <v>1.0109999999999999</v>
      </c>
      <c r="AF52" s="19">
        <f>ROUND(SUM(AG10:AG14)/SUM(AF10:AF14),3)</f>
        <v>1.117</v>
      </c>
      <c r="AG52" s="19">
        <f>ROUND(SUM(AH9:AH13)/SUM(AG9:AG13),3)</f>
        <v>1.056</v>
      </c>
      <c r="AH52" s="1"/>
      <c r="AI52" s="1"/>
      <c r="AJ52" s="1"/>
      <c r="AK52" s="19"/>
    </row>
    <row r="53" spans="1:37" customFormat="1">
      <c r="A53" s="30" t="s">
        <v>28</v>
      </c>
      <c r="B53" s="19">
        <f>SUM(C$10:C23)/SUM(B$10:B23)</f>
        <v>2.4129749888322523</v>
      </c>
      <c r="C53" s="19">
        <f>SUM(D$10:D22)/SUM(C$10:C22)</f>
        <v>1.6957085961308884</v>
      </c>
      <c r="D53" s="19">
        <f>SUM(E$10:E21)/SUM(D$10:D21)</f>
        <v>1.41543224729529</v>
      </c>
      <c r="E53" s="19">
        <f>SUM(F$10:F20)/SUM(E$10:E20)</f>
        <v>1.3376450924171666</v>
      </c>
      <c r="F53" s="19">
        <f>SUM(G$10:G19)/SUM(F$10:F19)</f>
        <v>1.0834172623253318</v>
      </c>
      <c r="G53" s="19">
        <f>SUM(H$10:H18)/SUM(G$10:G18)</f>
        <v>1.0380562694783597</v>
      </c>
      <c r="H53" s="19">
        <f>SUM(I$10:I17)/SUM(H$10:H17)</f>
        <v>1.0382928920284855</v>
      </c>
      <c r="I53" s="19">
        <f>SUM(J$10:J16)/SUM(I$10:I16)</f>
        <v>1.0444898135880514</v>
      </c>
      <c r="J53" s="19">
        <f>SUM(K$10:K15)/SUM(J$10:J15)</f>
        <v>1.0118024675942687</v>
      </c>
      <c r="K53" s="19">
        <f>SUM(L$10:L14)/SUM(K$10:K14)</f>
        <v>1.1166213585352998</v>
      </c>
      <c r="L53" s="19">
        <f>SUM(M$10:M13)/SUM(L$10:L13)</f>
        <v>1.0562648654762887</v>
      </c>
      <c r="M53" s="19">
        <f>SUM(N$10:N12)/SUM(M$10:M12)</f>
        <v>1.0379065475809608</v>
      </c>
      <c r="N53" s="19">
        <f>SUM(O$10:O11)/SUM(N$10:N11)</f>
        <v>1.0030268684147758</v>
      </c>
      <c r="O53" s="19">
        <f>SUM(P$10:P10)/SUM(O$10:O10)</f>
        <v>1</v>
      </c>
      <c r="P53" s="19"/>
      <c r="Q53" s="28"/>
      <c r="R53" s="1"/>
      <c r="S53" s="1"/>
      <c r="T53" s="1"/>
      <c r="V53" s="30" t="s">
        <v>28</v>
      </c>
      <c r="W53" s="19">
        <f>SUM(X$10:X23)/SUM(W$10:W23)</f>
        <v>2.4129749888322523</v>
      </c>
      <c r="X53" s="19">
        <f>SUM(Y$10:Y22)/SUM(X$10:X22)</f>
        <v>1.6957085961308884</v>
      </c>
      <c r="Y53" s="19">
        <f>SUM(Z$10:Z21)/SUM(Y$10:Y21)</f>
        <v>1.41543224729529</v>
      </c>
      <c r="Z53" s="19">
        <f>SUM(AA$10:AA20)/SUM(Z$10:Z20)</f>
        <v>1.3376450924171666</v>
      </c>
      <c r="AA53" s="19">
        <f>SUM(AB$10:AB19)/SUM(AA$10:AA19)</f>
        <v>1.0834172623253318</v>
      </c>
      <c r="AB53" s="19">
        <f>SUM(AC$10:AC18)/SUM(AB$10:AB18)</f>
        <v>1.0380562694783597</v>
      </c>
      <c r="AC53" s="19">
        <f>SUM(AD$10:AD17)/SUM(AC$10:AC17)</f>
        <v>1.0382928920284855</v>
      </c>
      <c r="AD53" s="19">
        <f>SUM(AE$10:AE16)/SUM(AD$10:AD16)</f>
        <v>1.0444898135880514</v>
      </c>
      <c r="AE53" s="19">
        <f>SUM(AF$10:AF15)/SUM(AE$10:AE15)</f>
        <v>1.0118024675942687</v>
      </c>
      <c r="AF53" s="19">
        <f>SUM(AG$10:AG14)/SUM(AF$10:AF14)</f>
        <v>1.1166213585352998</v>
      </c>
      <c r="AG53" s="19">
        <f>SUM(AH$10:AH13)/SUM(AG$10:AG13)</f>
        <v>1.0562648654762887</v>
      </c>
      <c r="AH53" s="19">
        <f>SUM(AI$10:AI12)/SUM(AH$10:AH12)</f>
        <v>1.0379065475809608</v>
      </c>
      <c r="AI53" s="19">
        <f>SUM(AJ$10:AJ11)/SUM(AI$10:AI11)</f>
        <v>1.0030268684147758</v>
      </c>
      <c r="AJ53" s="19">
        <f>SUM(AK$10:AK10)/SUM(AJ$10:AJ10)</f>
        <v>1</v>
      </c>
      <c r="AK53" s="19"/>
    </row>
    <row r="54" spans="1:37" customFormat="1">
      <c r="A54" s="3"/>
      <c r="B54" s="1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8"/>
      <c r="R54" s="292" t="s">
        <v>149</v>
      </c>
      <c r="S54" s="293"/>
      <c r="T54" s="293"/>
      <c r="V54" s="3"/>
      <c r="W54" s="1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</row>
    <row r="55" spans="1:37" customFormat="1">
      <c r="A55" s="2" t="s">
        <v>34</v>
      </c>
      <c r="B55" s="32">
        <f>+'Exercise 6 - Paid LDFs'!B58</f>
        <v>1.9850000000000001</v>
      </c>
      <c r="C55" s="32">
        <f>+'Exercise 6 - Paid LDFs'!C58</f>
        <v>1.585</v>
      </c>
      <c r="D55" s="32">
        <f>+'Exercise 6 - Paid LDFs'!D58</f>
        <v>1.35</v>
      </c>
      <c r="E55" s="32">
        <f>+'Exercise 6 - Paid LDFs'!E58</f>
        <v>1.2170000000000001</v>
      </c>
      <c r="F55" s="32">
        <f>+'Exercise 6 - Paid LDFs'!F58</f>
        <v>1.113</v>
      </c>
      <c r="G55" s="32">
        <f>+'Exercise 6 - Paid LDFs'!G58</f>
        <v>1.0820000000000001</v>
      </c>
      <c r="H55" s="32">
        <f>+'Exercise 6 - Paid LDFs'!H58</f>
        <v>1.048</v>
      </c>
      <c r="I55" s="32">
        <f>+'Exercise 6 - Paid LDFs'!I58</f>
        <v>1.0309999999999999</v>
      </c>
      <c r="J55" s="32">
        <f>+'Exercise 6 - Paid LDFs'!J58</f>
        <v>1.03</v>
      </c>
      <c r="K55" s="32">
        <f>+'Exercise 6 - Paid LDFs'!K58</f>
        <v>1.1000000000000001</v>
      </c>
      <c r="L55" s="32">
        <f>+'Exercise 6 - Paid LDFs'!L58</f>
        <v>1</v>
      </c>
      <c r="M55" s="32">
        <f>+'Exercise 6 - Paid LDFs'!M58</f>
        <v>1</v>
      </c>
      <c r="N55" s="32">
        <f>+'Exercise 6 - Paid LDFs'!N58</f>
        <v>1</v>
      </c>
      <c r="O55" s="32">
        <f>+'Exercise 6 - Paid LDFs'!O58</f>
        <v>1</v>
      </c>
      <c r="P55" s="213">
        <v>1</v>
      </c>
      <c r="Q55" s="28"/>
      <c r="R55" s="293"/>
      <c r="S55" s="213">
        <f>+SUM('Exercise 6 Inc LDFs'!O13:O14)/SUM('Exercise 6 - Paid LDFs'!O10:O11)</f>
        <v>1.0291513988100129</v>
      </c>
      <c r="T55" s="293"/>
      <c r="V55" s="2" t="s">
        <v>34</v>
      </c>
      <c r="W55" s="32">
        <f>+B55</f>
        <v>1.9850000000000001</v>
      </c>
      <c r="X55" s="32">
        <f t="shared" ref="X55:AJ55" si="34">+C55</f>
        <v>1.585</v>
      </c>
      <c r="Y55" s="32">
        <f t="shared" si="34"/>
        <v>1.35</v>
      </c>
      <c r="Z55" s="32">
        <f t="shared" si="34"/>
        <v>1.2170000000000001</v>
      </c>
      <c r="AA55" s="32">
        <f t="shared" si="34"/>
        <v>1.113</v>
      </c>
      <c r="AB55" s="32">
        <f t="shared" si="34"/>
        <v>1.0820000000000001</v>
      </c>
      <c r="AC55" s="32">
        <f t="shared" si="34"/>
        <v>1.048</v>
      </c>
      <c r="AD55" s="32">
        <f t="shared" si="34"/>
        <v>1.0309999999999999</v>
      </c>
      <c r="AE55" s="32">
        <f t="shared" si="34"/>
        <v>1.03</v>
      </c>
      <c r="AF55" s="32">
        <f t="shared" si="34"/>
        <v>1.1000000000000001</v>
      </c>
      <c r="AG55" s="32">
        <f t="shared" si="34"/>
        <v>1</v>
      </c>
      <c r="AH55" s="32">
        <f t="shared" si="34"/>
        <v>1</v>
      </c>
      <c r="AI55" s="32">
        <f t="shared" si="34"/>
        <v>1</v>
      </c>
      <c r="AJ55" s="32">
        <f t="shared" si="34"/>
        <v>1</v>
      </c>
      <c r="AK55" s="213">
        <f>+S55</f>
        <v>1.0291513988100129</v>
      </c>
    </row>
    <row r="56" spans="1:37" customFormat="1">
      <c r="A56" s="2" t="s">
        <v>35</v>
      </c>
      <c r="B56" s="335">
        <f t="shared" ref="B56:N56" si="35">B55*C56</f>
        <v>7.6205515854545434</v>
      </c>
      <c r="C56" s="335">
        <f t="shared" si="35"/>
        <v>3.8390688087932205</v>
      </c>
      <c r="D56" s="335">
        <f t="shared" si="35"/>
        <v>2.4221254314152811</v>
      </c>
      <c r="E56" s="335">
        <f t="shared" si="35"/>
        <v>1.7941669862335414</v>
      </c>
      <c r="F56" s="335">
        <f t="shared" si="35"/>
        <v>1.4742538917284644</v>
      </c>
      <c r="G56" s="335">
        <f t="shared" si="35"/>
        <v>1.3245767221280005</v>
      </c>
      <c r="H56" s="335">
        <f t="shared" si="35"/>
        <v>1.2241929040000004</v>
      </c>
      <c r="I56" s="335">
        <f t="shared" si="35"/>
        <v>1.1681230000000002</v>
      </c>
      <c r="J56" s="335">
        <f t="shared" si="35"/>
        <v>1.1330000000000002</v>
      </c>
      <c r="K56" s="335">
        <f t="shared" si="35"/>
        <v>1.1000000000000001</v>
      </c>
      <c r="L56" s="335">
        <f t="shared" si="35"/>
        <v>1</v>
      </c>
      <c r="M56" s="335">
        <f t="shared" si="35"/>
        <v>1</v>
      </c>
      <c r="N56" s="335">
        <f t="shared" si="35"/>
        <v>1</v>
      </c>
      <c r="O56" s="335">
        <f>O55*P56</f>
        <v>1</v>
      </c>
      <c r="P56" s="334">
        <f>+P55</f>
        <v>1</v>
      </c>
      <c r="Q56" s="28"/>
      <c r="R56" s="1"/>
      <c r="S56" s="1"/>
      <c r="T56" s="1"/>
      <c r="V56" s="2" t="s">
        <v>35</v>
      </c>
      <c r="W56" s="335">
        <f t="shared" ref="W56" si="36">W55*X56</f>
        <v>7.8427013238744028</v>
      </c>
      <c r="X56" s="335">
        <f t="shared" ref="X56" si="37">X55*Y56</f>
        <v>3.950983034697432</v>
      </c>
      <c r="Y56" s="335">
        <f t="shared" ref="Y56" si="38">Y55*Z56</f>
        <v>2.492733775834342</v>
      </c>
      <c r="Z56" s="335">
        <f t="shared" ref="Z56" si="39">Z55*AA56</f>
        <v>1.846469463580994</v>
      </c>
      <c r="AA56" s="335">
        <f t="shared" ref="AA56" si="40">AA55*AB56</f>
        <v>1.5172304548734543</v>
      </c>
      <c r="AB56" s="335">
        <f t="shared" ref="AB56" si="41">AB55*AC56</f>
        <v>1.3631899864092132</v>
      </c>
      <c r="AC56" s="335">
        <f t="shared" ref="AC56" si="42">AC55*AD56</f>
        <v>1.259879839564892</v>
      </c>
      <c r="AD56" s="335">
        <f t="shared" ref="AD56" si="43">AD55*AE56</f>
        <v>1.2021754194321488</v>
      </c>
      <c r="AE56" s="335">
        <f t="shared" ref="AE56" si="44">AE55*AF56</f>
        <v>1.1660285348517447</v>
      </c>
      <c r="AF56" s="335">
        <f t="shared" ref="AF56" si="45">AF55*AG56</f>
        <v>1.1320665386910143</v>
      </c>
      <c r="AG56" s="335">
        <f t="shared" ref="AG56" si="46">AG55*AH56</f>
        <v>1.0291513988100129</v>
      </c>
      <c r="AH56" s="335">
        <f t="shared" ref="AH56" si="47">AH55*AI56</f>
        <v>1.0291513988100129</v>
      </c>
      <c r="AI56" s="335">
        <f t="shared" ref="AI56" si="48">AI55*AJ56</f>
        <v>1.0291513988100129</v>
      </c>
      <c r="AJ56" s="335">
        <f>AJ55*AK56</f>
        <v>1.0291513988100129</v>
      </c>
      <c r="AK56" s="334">
        <f>+AK55</f>
        <v>1.0291513988100129</v>
      </c>
    </row>
    <row r="57" spans="1:37" customFormat="1">
      <c r="A57" s="3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"/>
      <c r="R57" s="1"/>
      <c r="S57" s="1"/>
      <c r="T57" s="1"/>
      <c r="V57" s="3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</row>
    <row r="58" spans="1:37">
      <c r="B58" s="2"/>
      <c r="V58" s="3"/>
      <c r="W58" s="2"/>
    </row>
    <row r="59" spans="1:37">
      <c r="B59" s="33"/>
      <c r="C59" s="33"/>
      <c r="D59" s="33"/>
      <c r="E59" s="33"/>
      <c r="F59" s="33"/>
      <c r="G59" s="34"/>
      <c r="H59" s="33"/>
      <c r="I59" s="33"/>
      <c r="J59" s="33"/>
      <c r="K59" s="33"/>
      <c r="M59" s="299"/>
      <c r="N59" s="300" t="s">
        <v>151</v>
      </c>
      <c r="O59" s="299"/>
      <c r="V59" s="3"/>
      <c r="W59" s="33"/>
      <c r="X59" s="33"/>
      <c r="Y59" s="33"/>
      <c r="Z59" s="33"/>
      <c r="AA59" s="33"/>
      <c r="AB59" s="34"/>
      <c r="AC59" s="33"/>
      <c r="AD59" s="33"/>
      <c r="AE59" s="33"/>
      <c r="AF59" s="33"/>
      <c r="AH59" s="299"/>
      <c r="AI59" s="300" t="s">
        <v>151</v>
      </c>
      <c r="AJ59" s="299"/>
    </row>
    <row r="60" spans="1:37">
      <c r="B60" s="3"/>
      <c r="D60" s="3"/>
      <c r="E60" s="3"/>
      <c r="F60" s="3"/>
      <c r="G60" s="35"/>
      <c r="H60" s="3"/>
      <c r="I60" s="3"/>
      <c r="J60" s="3"/>
      <c r="K60" s="3"/>
      <c r="L60" s="3"/>
      <c r="M60" s="3"/>
      <c r="N60" s="3"/>
      <c r="O60" s="3"/>
    </row>
    <row r="61" spans="1:37">
      <c r="C61" s="3"/>
    </row>
    <row r="65" spans="1:1">
      <c r="A65" s="35"/>
    </row>
    <row r="66" spans="1:1">
      <c r="A66" s="35"/>
    </row>
    <row r="67" spans="1:1">
      <c r="A67" s="35"/>
    </row>
    <row r="69" spans="1:1">
      <c r="A69" s="35"/>
    </row>
    <row r="70" spans="1:1">
      <c r="A70" s="35"/>
    </row>
    <row r="102" spans="2:21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45" t="s">
        <v>128</v>
      </c>
      <c r="T102" s="250" t="str">
        <f>+A5</f>
        <v>Paid Loss</v>
      </c>
      <c r="U102" s="250"/>
    </row>
    <row r="103" spans="2:21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207">
        <f>+EvalDate</f>
        <v>42735</v>
      </c>
      <c r="T103" s="3" t="s">
        <v>137</v>
      </c>
      <c r="U103" s="3"/>
    </row>
    <row r="104" spans="2:21">
      <c r="B104" s="246">
        <v>12</v>
      </c>
      <c r="C104" s="246">
        <f>+B104+12</f>
        <v>24</v>
      </c>
      <c r="D104" s="246">
        <f>+C104+12</f>
        <v>36</v>
      </c>
      <c r="E104" s="246">
        <f t="shared" ref="E104:P104" si="49">+D104+12</f>
        <v>48</v>
      </c>
      <c r="F104" s="246">
        <f t="shared" si="49"/>
        <v>60</v>
      </c>
      <c r="G104" s="246">
        <f t="shared" si="49"/>
        <v>72</v>
      </c>
      <c r="H104" s="246">
        <f t="shared" si="49"/>
        <v>84</v>
      </c>
      <c r="I104" s="246">
        <f t="shared" si="49"/>
        <v>96</v>
      </c>
      <c r="J104" s="246">
        <f t="shared" si="49"/>
        <v>108</v>
      </c>
      <c r="K104" s="246">
        <f t="shared" si="49"/>
        <v>120</v>
      </c>
      <c r="L104" s="246">
        <f t="shared" si="49"/>
        <v>132</v>
      </c>
      <c r="M104" s="246">
        <f t="shared" si="49"/>
        <v>144</v>
      </c>
      <c r="N104" s="246">
        <f t="shared" si="49"/>
        <v>156</v>
      </c>
      <c r="O104" s="246">
        <f t="shared" si="49"/>
        <v>168</v>
      </c>
      <c r="P104" s="246">
        <f t="shared" si="49"/>
        <v>180</v>
      </c>
      <c r="Q104" s="246"/>
      <c r="R104" s="247"/>
      <c r="S104" s="37"/>
      <c r="T104" s="247"/>
      <c r="U104" s="247"/>
    </row>
    <row r="105" spans="2:21">
      <c r="B105" s="248">
        <f>+B56</f>
        <v>7.6205515854545434</v>
      </c>
      <c r="C105" s="248">
        <f>+C56</f>
        <v>3.8390688087932205</v>
      </c>
      <c r="D105" s="248">
        <f t="shared" ref="D105:P105" si="50">+D56</f>
        <v>2.4221254314152811</v>
      </c>
      <c r="E105" s="248">
        <f t="shared" si="50"/>
        <v>1.7941669862335414</v>
      </c>
      <c r="F105" s="248">
        <f t="shared" si="50"/>
        <v>1.4742538917284644</v>
      </c>
      <c r="G105" s="248">
        <f t="shared" si="50"/>
        <v>1.3245767221280005</v>
      </c>
      <c r="H105" s="248">
        <f t="shared" si="50"/>
        <v>1.2241929040000004</v>
      </c>
      <c r="I105" s="248">
        <f t="shared" si="50"/>
        <v>1.1681230000000002</v>
      </c>
      <c r="J105" s="248">
        <f t="shared" si="50"/>
        <v>1.1330000000000002</v>
      </c>
      <c r="K105" s="248">
        <f t="shared" si="50"/>
        <v>1.1000000000000001</v>
      </c>
      <c r="L105" s="248">
        <f t="shared" si="50"/>
        <v>1</v>
      </c>
      <c r="M105" s="248">
        <f t="shared" si="50"/>
        <v>1</v>
      </c>
      <c r="N105" s="248">
        <f t="shared" si="50"/>
        <v>1</v>
      </c>
      <c r="O105" s="248">
        <f t="shared" si="50"/>
        <v>1</v>
      </c>
      <c r="P105" s="248">
        <f t="shared" si="50"/>
        <v>1</v>
      </c>
      <c r="Q105" s="247"/>
      <c r="R105" s="247">
        <f t="shared" ref="R105:R117" si="51">+R106+12</f>
        <v>180</v>
      </c>
      <c r="S105" s="206">
        <f>+P10</f>
        <v>4066336.3900369992</v>
      </c>
      <c r="T105" s="249">
        <f t="shared" ref="T105:T119" si="52">+HLOOKUP(R105,$B$104:$Q$105,2,FALSE)</f>
        <v>1</v>
      </c>
      <c r="U105" s="249"/>
    </row>
    <row r="106" spans="2:21"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>
        <f t="shared" si="51"/>
        <v>168</v>
      </c>
      <c r="S106" s="206">
        <f>+O11</f>
        <v>3271028.46</v>
      </c>
      <c r="T106" s="249">
        <f t="shared" si="52"/>
        <v>1</v>
      </c>
      <c r="U106" s="249"/>
    </row>
    <row r="107" spans="2:21">
      <c r="B107" s="247"/>
      <c r="C107" s="247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>
        <f t="shared" si="51"/>
        <v>156</v>
      </c>
      <c r="S107" s="206">
        <f>+N12</f>
        <v>4586913</v>
      </c>
      <c r="T107" s="249">
        <f t="shared" si="52"/>
        <v>1</v>
      </c>
      <c r="U107" s="249"/>
    </row>
    <row r="108" spans="2:21">
      <c r="B108" s="247"/>
      <c r="C108" s="247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>
        <f t="shared" si="51"/>
        <v>144</v>
      </c>
      <c r="S108" s="206">
        <f>+M13</f>
        <v>4556737.22</v>
      </c>
      <c r="T108" s="249">
        <f t="shared" si="52"/>
        <v>1</v>
      </c>
      <c r="U108" s="249"/>
    </row>
    <row r="109" spans="2:21">
      <c r="B109" s="247"/>
      <c r="C109" s="247"/>
      <c r="D109" s="247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  <c r="R109" s="247">
        <f t="shared" si="51"/>
        <v>132</v>
      </c>
      <c r="S109" s="206">
        <f>+L14</f>
        <v>4357830.49</v>
      </c>
      <c r="T109" s="249">
        <f t="shared" si="52"/>
        <v>1</v>
      </c>
      <c r="U109" s="249"/>
    </row>
    <row r="110" spans="2:21">
      <c r="B110" s="247"/>
      <c r="C110" s="247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  <c r="R110" s="247">
        <f t="shared" si="51"/>
        <v>120</v>
      </c>
      <c r="S110" s="206">
        <f>+K15</f>
        <v>3174352.51</v>
      </c>
      <c r="T110" s="249">
        <f t="shared" si="52"/>
        <v>1.1000000000000001</v>
      </c>
      <c r="U110" s="249"/>
    </row>
    <row r="111" spans="2:21"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>
        <f t="shared" si="51"/>
        <v>108</v>
      </c>
      <c r="S111" s="206">
        <f>+J16</f>
        <v>2329891</v>
      </c>
      <c r="T111" s="249">
        <f t="shared" si="52"/>
        <v>1.1330000000000002</v>
      </c>
      <c r="U111" s="249"/>
    </row>
    <row r="112" spans="2:21"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>
        <f t="shared" si="51"/>
        <v>96</v>
      </c>
      <c r="S112" s="206">
        <f>+I17</f>
        <v>2463991.9700000002</v>
      </c>
      <c r="T112" s="249">
        <f t="shared" si="52"/>
        <v>1.1681230000000002</v>
      </c>
      <c r="U112" s="249"/>
    </row>
    <row r="113" spans="2:21"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>
        <f t="shared" si="51"/>
        <v>84</v>
      </c>
      <c r="S113" s="206">
        <f>+H18</f>
        <v>3156139.46</v>
      </c>
      <c r="T113" s="249">
        <f t="shared" si="52"/>
        <v>1.2241929040000004</v>
      </c>
      <c r="U113" s="249"/>
    </row>
    <row r="114" spans="2:21"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>
        <f t="shared" si="51"/>
        <v>72</v>
      </c>
      <c r="S114" s="206">
        <f>+G19</f>
        <v>6907218</v>
      </c>
      <c r="T114" s="249">
        <f t="shared" si="52"/>
        <v>1.3245767221280005</v>
      </c>
      <c r="U114" s="249"/>
    </row>
    <row r="115" spans="2:21"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>
        <f t="shared" si="51"/>
        <v>60</v>
      </c>
      <c r="S115" s="206">
        <f>+F20</f>
        <v>4132680</v>
      </c>
      <c r="T115" s="249">
        <f t="shared" si="52"/>
        <v>1.4742538917284644</v>
      </c>
      <c r="U115" s="249"/>
    </row>
    <row r="116" spans="2:21"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>
        <f t="shared" si="51"/>
        <v>48</v>
      </c>
      <c r="S116" s="206">
        <f>+E21</f>
        <v>1766812.92</v>
      </c>
      <c r="T116" s="249">
        <f t="shared" si="52"/>
        <v>1.7941669862335414</v>
      </c>
      <c r="U116" s="249"/>
    </row>
    <row r="117" spans="2:21"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>
        <f t="shared" si="51"/>
        <v>36</v>
      </c>
      <c r="S117" s="206">
        <f>+D22</f>
        <v>1655619</v>
      </c>
      <c r="T117" s="249">
        <f t="shared" si="52"/>
        <v>2.4221254314152811</v>
      </c>
      <c r="U117" s="249"/>
    </row>
    <row r="118" spans="2:21"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>
        <f>+R119+12</f>
        <v>24</v>
      </c>
      <c r="S118" s="206">
        <f>+C23</f>
        <v>629188</v>
      </c>
      <c r="T118" s="249">
        <f t="shared" si="52"/>
        <v>3.8390688087932205</v>
      </c>
      <c r="U118" s="249"/>
    </row>
    <row r="119" spans="2:21"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>
        <v>12</v>
      </c>
      <c r="S119" s="206">
        <f>+B24</f>
        <v>383397</v>
      </c>
      <c r="T119" s="249">
        <f t="shared" si="52"/>
        <v>7.6205515854545434</v>
      </c>
      <c r="U119" s="249"/>
    </row>
    <row r="120" spans="2:21">
      <c r="S120" s="20"/>
    </row>
  </sheetData>
  <pageMargins left="0.7" right="0.7" top="0.75" bottom="0.75" header="0.3" footer="0.3"/>
  <ignoredErrors>
    <ignoredError sqref="B51:O53 W51:AK55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C72E2"/>
  </sheetPr>
  <dimension ref="A1:I126"/>
  <sheetViews>
    <sheetView showGridLines="0" topLeftCell="A10" workbookViewId="0">
      <selection activeCell="G31" sqref="G31"/>
    </sheetView>
  </sheetViews>
  <sheetFormatPr defaultRowHeight="12.75"/>
  <cols>
    <col min="1" max="1" width="14.5703125" customWidth="1"/>
    <col min="2" max="2" width="18" customWidth="1"/>
    <col min="3" max="3" width="17.7109375" customWidth="1"/>
    <col min="4" max="4" width="17.28515625" customWidth="1"/>
    <col min="5" max="6" width="14.5703125" customWidth="1"/>
    <col min="7" max="7" width="14" bestFit="1" customWidth="1"/>
    <col min="8" max="8" width="17.42578125" customWidth="1"/>
    <col min="9" max="9" width="0.85546875" customWidth="1"/>
  </cols>
  <sheetData>
    <row r="1" spans="1:8" ht="15.75">
      <c r="A1" s="203" t="s">
        <v>0</v>
      </c>
      <c r="B1" s="73"/>
    </row>
    <row r="2" spans="1:8" ht="15.75">
      <c r="A2" s="204" t="str">
        <f>+"Analysis of Loss &amp; DCC Reserves as of "&amp;TEXT(EvalDate,"mm/dd/yyy")</f>
        <v>Analysis of Loss &amp; DCC Reserves as of 12/31/2016</v>
      </c>
      <c r="B2" s="73"/>
    </row>
    <row r="3" spans="1:8" ht="15.75">
      <c r="A3" s="205" t="str">
        <f>+LOB</f>
        <v>Liability</v>
      </c>
      <c r="B3" s="73"/>
    </row>
    <row r="4" spans="1:8" ht="15.75">
      <c r="B4" s="73"/>
    </row>
    <row r="5" spans="1:8" ht="15.75">
      <c r="A5" s="73" t="s">
        <v>80</v>
      </c>
      <c r="B5" s="73"/>
    </row>
    <row r="6" spans="1:8" ht="15.75">
      <c r="A6" s="73"/>
      <c r="B6" s="73"/>
    </row>
    <row r="7" spans="1:8" ht="15.75">
      <c r="A7" s="73"/>
      <c r="B7" s="73"/>
    </row>
    <row r="8" spans="1:8" ht="15.75">
      <c r="A8" s="73"/>
      <c r="B8" s="73"/>
    </row>
    <row r="9" spans="1:8" ht="15.75">
      <c r="A9" s="73"/>
      <c r="B9" s="73"/>
    </row>
    <row r="10" spans="1:8" ht="15.75">
      <c r="A10" s="73"/>
    </row>
    <row r="11" spans="1:8" ht="15.75">
      <c r="A11" s="73"/>
      <c r="B11" s="74"/>
      <c r="C11" s="74"/>
      <c r="D11" s="74"/>
      <c r="E11" s="74"/>
      <c r="F11" s="74"/>
      <c r="G11" s="74"/>
      <c r="H11" s="90"/>
    </row>
    <row r="12" spans="1:8" ht="15.75">
      <c r="A12" s="73"/>
      <c r="B12" s="79" t="s">
        <v>45</v>
      </c>
      <c r="C12" s="78" t="s">
        <v>46</v>
      </c>
      <c r="D12" s="80" t="s">
        <v>47</v>
      </c>
      <c r="E12" s="79" t="s">
        <v>48</v>
      </c>
      <c r="F12" s="79" t="s">
        <v>49</v>
      </c>
      <c r="G12" s="79" t="s">
        <v>50</v>
      </c>
      <c r="H12" s="79" t="s">
        <v>51</v>
      </c>
    </row>
    <row r="13" spans="1:8" ht="15.75">
      <c r="A13" s="76"/>
      <c r="B13" s="77"/>
      <c r="C13" s="76"/>
      <c r="D13" s="76"/>
      <c r="E13" s="86"/>
      <c r="F13" s="86"/>
      <c r="G13" s="83"/>
      <c r="H13" s="83" t="s">
        <v>81</v>
      </c>
    </row>
    <row r="14" spans="1:8" ht="15.75">
      <c r="A14" s="46" t="str">
        <f>'[1]Exercise 6 - Paid-Ldfs'!$A$10</f>
        <v>Accident</v>
      </c>
      <c r="B14" s="86" t="s">
        <v>143</v>
      </c>
      <c r="C14" s="83"/>
      <c r="D14" s="83"/>
      <c r="E14" s="86" t="s">
        <v>82</v>
      </c>
      <c r="F14" s="86" t="s">
        <v>82</v>
      </c>
      <c r="G14" s="83" t="s">
        <v>83</v>
      </c>
      <c r="H14" s="83" t="s">
        <v>54</v>
      </c>
    </row>
    <row r="15" spans="1:8" ht="15.75">
      <c r="A15" s="87" t="s">
        <v>5</v>
      </c>
      <c r="B15" s="115" t="s">
        <v>58</v>
      </c>
      <c r="C15" s="87" t="s">
        <v>84</v>
      </c>
      <c r="D15" s="87" t="s">
        <v>85</v>
      </c>
      <c r="E15" s="88" t="s">
        <v>84</v>
      </c>
      <c r="F15" s="88" t="s">
        <v>85</v>
      </c>
      <c r="G15" s="87" t="str">
        <f>F14</f>
        <v>Loss Ratio</v>
      </c>
      <c r="H15" s="87" t="s">
        <v>73</v>
      </c>
    </row>
    <row r="16" spans="1:8">
      <c r="A16" s="89"/>
      <c r="B16" s="110"/>
      <c r="C16" s="91"/>
      <c r="D16" s="90"/>
      <c r="E16" s="90"/>
      <c r="F16" s="90"/>
      <c r="G16" s="90"/>
      <c r="H16" s="90"/>
    </row>
    <row r="17" spans="1:9" ht="15.75">
      <c r="A17" s="89">
        <f t="shared" ref="A17:A29" si="0">+A18-1</f>
        <v>2002</v>
      </c>
      <c r="B17" s="116">
        <f>+'Input Data'!C14</f>
        <v>6953372</v>
      </c>
      <c r="C17" s="261">
        <f>+'Exercise 7 &amp; 8 PD Dev Meth  (2)'!F17</f>
        <v>4066336.3900369992</v>
      </c>
      <c r="D17" s="261">
        <f>+'Exercise 7 &amp; 8 Inc Dev Meth'!F17</f>
        <v>4230708.2989949994</v>
      </c>
      <c r="E17" s="118">
        <f>C17/B17</f>
        <v>0.58480063917722214</v>
      </c>
      <c r="F17" s="118">
        <f>D17/B17</f>
        <v>0.60843980431292899</v>
      </c>
      <c r="G17" s="231">
        <f>+AVERAGE(E17,F17)</f>
        <v>0.59662022174507556</v>
      </c>
      <c r="H17" s="232">
        <f>+G17*B17</f>
        <v>4148522.3445159998</v>
      </c>
      <c r="I17" s="286"/>
    </row>
    <row r="18" spans="1:9" ht="15.75">
      <c r="A18" s="89">
        <f t="shared" si="0"/>
        <v>2003</v>
      </c>
      <c r="B18" s="116">
        <f>+'Input Data'!C15</f>
        <v>6567116</v>
      </c>
      <c r="C18" s="261">
        <f>+'Exercise 7 &amp; 8 PD Dev Meth  (2)'!F18</f>
        <v>3271028.46</v>
      </c>
      <c r="D18" s="261">
        <f>+'Exercise 7 &amp; 8 Inc Dev Meth'!F18</f>
        <v>3320551.0000000005</v>
      </c>
      <c r="E18" s="118">
        <f t="shared" ref="E18:E31" si="1">C18/B18</f>
        <v>0.49809207877552336</v>
      </c>
      <c r="F18" s="118">
        <f t="shared" ref="F18:F31" si="2">D18/B18</f>
        <v>0.50563306632622307</v>
      </c>
      <c r="G18" s="231">
        <f t="shared" ref="G18:G26" si="3">+AVERAGE(E18,F18)</f>
        <v>0.50186257255087319</v>
      </c>
      <c r="H18" s="232">
        <f t="shared" ref="H18:H31" si="4">+G18*B18</f>
        <v>3295789.73</v>
      </c>
      <c r="I18" s="286"/>
    </row>
    <row r="19" spans="1:9" ht="15.75">
      <c r="A19" s="89">
        <f t="shared" si="0"/>
        <v>2004</v>
      </c>
      <c r="B19" s="116">
        <f>+'Input Data'!C16</f>
        <v>6690146</v>
      </c>
      <c r="C19" s="261">
        <f>+'Exercise 7 &amp; 8 PD Dev Meth  (2)'!F19</f>
        <v>4586913</v>
      </c>
      <c r="D19" s="261">
        <f>+'Exercise 7 &amp; 8 Inc Dev Meth'!F19</f>
        <v>4646721.5151396068</v>
      </c>
      <c r="E19" s="118">
        <f t="shared" si="1"/>
        <v>0.68562225697316626</v>
      </c>
      <c r="F19" s="118">
        <f t="shared" si="2"/>
        <v>0.69456204918989917</v>
      </c>
      <c r="G19" s="231">
        <f t="shared" si="3"/>
        <v>0.69009215308153271</v>
      </c>
      <c r="H19" s="232">
        <f t="shared" si="4"/>
        <v>4616817.2575698039</v>
      </c>
      <c r="I19" s="286"/>
    </row>
    <row r="20" spans="1:9" ht="15.75">
      <c r="A20" s="89">
        <f t="shared" si="0"/>
        <v>2005</v>
      </c>
      <c r="B20" s="116">
        <f>+'Input Data'!C17</f>
        <v>7103262.0000000009</v>
      </c>
      <c r="C20" s="261">
        <f>+'Exercise 7 &amp; 8 PD Dev Meth  (2)'!F20</f>
        <v>4556737.22</v>
      </c>
      <c r="D20" s="261">
        <f>+'Exercise 7 &amp; 8 Inc Dev Meth'!F20</f>
        <v>4683358.6224301504</v>
      </c>
      <c r="E20" s="118">
        <f t="shared" si="1"/>
        <v>0.64149924640256817</v>
      </c>
      <c r="F20" s="118">
        <f t="shared" si="2"/>
        <v>0.65932505691471743</v>
      </c>
      <c r="G20" s="231">
        <f t="shared" si="3"/>
        <v>0.65041215165864275</v>
      </c>
      <c r="H20" s="232">
        <f t="shared" si="4"/>
        <v>4620047.9212150741</v>
      </c>
      <c r="I20" s="286"/>
    </row>
    <row r="21" spans="1:9" ht="15.75">
      <c r="A21" s="89">
        <f t="shared" si="0"/>
        <v>2006</v>
      </c>
      <c r="B21" s="116">
        <f>+'Input Data'!C18</f>
        <v>7959030</v>
      </c>
      <c r="C21" s="261">
        <f>+'Exercise 7 &amp; 8 PD Dev Meth  (2)'!F21</f>
        <v>4357830.49</v>
      </c>
      <c r="D21" s="261">
        <f>+'Exercise 7 &amp; 8 Inc Dev Meth'!F21</f>
        <v>4858838.591131499</v>
      </c>
      <c r="E21" s="118">
        <f t="shared" si="1"/>
        <v>0.54753286392939848</v>
      </c>
      <c r="F21" s="118">
        <f t="shared" si="2"/>
        <v>0.61048125099811146</v>
      </c>
      <c r="G21" s="231">
        <f t="shared" si="3"/>
        <v>0.57900705746375492</v>
      </c>
      <c r="H21" s="232">
        <f t="shared" si="4"/>
        <v>4608334.5405657496</v>
      </c>
      <c r="I21" s="286"/>
    </row>
    <row r="22" spans="1:9" ht="15.75">
      <c r="A22" s="89">
        <f t="shared" si="0"/>
        <v>2007</v>
      </c>
      <c r="B22" s="116">
        <f>+'Input Data'!C19</f>
        <v>9363418</v>
      </c>
      <c r="C22" s="261">
        <f>+'Exercise 7 &amp; 8 PD Dev Meth  (2)'!F22</f>
        <v>3491787.7609999999</v>
      </c>
      <c r="D22" s="261">
        <f>+'Exercise 7 &amp; 8 Inc Dev Meth'!F22</f>
        <v>3541613.6865702062</v>
      </c>
      <c r="E22" s="118">
        <f t="shared" si="1"/>
        <v>0.37291806912817521</v>
      </c>
      <c r="F22" s="118">
        <f t="shared" si="2"/>
        <v>0.37823940857603561</v>
      </c>
      <c r="G22" s="231">
        <f t="shared" si="3"/>
        <v>0.37557873885210541</v>
      </c>
      <c r="H22" s="232">
        <f t="shared" si="4"/>
        <v>3516700.7237851033</v>
      </c>
      <c r="I22" s="286"/>
    </row>
    <row r="23" spans="1:9" ht="15.75">
      <c r="A23" s="89">
        <f t="shared" si="0"/>
        <v>2008</v>
      </c>
      <c r="B23" s="116">
        <f>+'Input Data'!C20</f>
        <v>10597562</v>
      </c>
      <c r="C23" s="261">
        <f>+'Exercise 7 &amp; 8 PD Dev Meth  (2)'!F23</f>
        <v>2639766.5030000005</v>
      </c>
      <c r="D23" s="261">
        <f>+'Exercise 7 &amp; 8 Inc Dev Meth'!F23</f>
        <v>2734738.6358561409</v>
      </c>
      <c r="E23" s="118">
        <f t="shared" si="1"/>
        <v>0.24909186688410037</v>
      </c>
      <c r="F23" s="118">
        <f t="shared" si="2"/>
        <v>0.25805356324937195</v>
      </c>
      <c r="G23" s="231">
        <f t="shared" si="3"/>
        <v>0.25357271506673618</v>
      </c>
      <c r="H23" s="232">
        <f t="shared" si="4"/>
        <v>2687252.5694280709</v>
      </c>
      <c r="I23" s="286"/>
    </row>
    <row r="24" spans="1:9" ht="15.75">
      <c r="A24" s="89">
        <f t="shared" si="0"/>
        <v>2009</v>
      </c>
      <c r="B24" s="116">
        <f>+'Input Data'!C21</f>
        <v>11036360</v>
      </c>
      <c r="C24" s="261">
        <f>+'Exercise 7 &amp; 8 PD Dev Meth  (2)'!F24</f>
        <v>2878245.6919723107</v>
      </c>
      <c r="D24" s="261">
        <f>+'Exercise 7 &amp; 8 Inc Dev Meth'!F24</f>
        <v>3170799.8275274825</v>
      </c>
      <c r="E24" s="118">
        <f t="shared" si="1"/>
        <v>0.26079664780528278</v>
      </c>
      <c r="F24" s="118">
        <f t="shared" si="2"/>
        <v>0.28730485663094374</v>
      </c>
      <c r="G24" s="231">
        <f t="shared" si="3"/>
        <v>0.27405075221811326</v>
      </c>
      <c r="H24" s="232">
        <f t="shared" si="4"/>
        <v>3024522.7597498964</v>
      </c>
      <c r="I24" s="286"/>
    </row>
    <row r="25" spans="1:9" ht="15.75">
      <c r="A25" s="89">
        <f t="shared" si="0"/>
        <v>2010</v>
      </c>
      <c r="B25" s="116">
        <f>+'Input Data'!C22</f>
        <v>11402928</v>
      </c>
      <c r="C25" s="261">
        <f>+'Exercise 7 &amp; 8 PD Dev Meth  (2)'!F25</f>
        <v>3863723.5309663927</v>
      </c>
      <c r="D25" s="261">
        <f>+'Exercise 7 &amp; 8 Inc Dev Meth'!F25</f>
        <v>4280388.0927642798</v>
      </c>
      <c r="E25" s="118">
        <f t="shared" si="1"/>
        <v>0.33883608937690324</v>
      </c>
      <c r="F25" s="118">
        <f t="shared" si="2"/>
        <v>0.37537622729568054</v>
      </c>
      <c r="G25" s="231">
        <f t="shared" si="3"/>
        <v>0.35710615833629189</v>
      </c>
      <c r="H25" s="232">
        <f t="shared" si="4"/>
        <v>4072055.8118653363</v>
      </c>
      <c r="I25" s="286"/>
    </row>
    <row r="26" spans="1:9" ht="15.75">
      <c r="A26" s="89">
        <f t="shared" si="0"/>
        <v>2011</v>
      </c>
      <c r="B26" s="116">
        <f>+'Input Data'!C23</f>
        <v>11099580</v>
      </c>
      <c r="C26" s="261">
        <f>+'Exercise 7 &amp; 8 PD Dev Meth  (2)'!F26</f>
        <v>9149140.177463524</v>
      </c>
      <c r="D26" s="261">
        <f>+'Exercise 7 &amp; 8 Inc Dev Meth'!F26</f>
        <v>8914050.2412558272</v>
      </c>
      <c r="E26" s="118">
        <f t="shared" si="1"/>
        <v>0.82427805173380653</v>
      </c>
      <c r="F26" s="118">
        <f t="shared" si="2"/>
        <v>0.80309797679334061</v>
      </c>
      <c r="G26" s="231">
        <f t="shared" si="3"/>
        <v>0.81368801426357362</v>
      </c>
      <c r="H26" s="232">
        <f t="shared" si="4"/>
        <v>9031595.2093596756</v>
      </c>
      <c r="I26" s="286"/>
    </row>
    <row r="27" spans="1:9" ht="15.75">
      <c r="A27" s="89">
        <f t="shared" si="0"/>
        <v>2012</v>
      </c>
      <c r="B27" s="116">
        <f>+'Input Data'!C24</f>
        <v>10683363</v>
      </c>
      <c r="C27" s="261">
        <f>+'Exercise 7 &amp; 8 PD Dev Meth  (2)'!F27</f>
        <v>6092619.5732683903</v>
      </c>
      <c r="D27" s="261">
        <f>+'Exercise 7 &amp; 8 Inc Dev Meth'!F27</f>
        <v>6671330.0577424951</v>
      </c>
      <c r="E27" s="118">
        <f t="shared" si="1"/>
        <v>0.57029042009228648</v>
      </c>
      <c r="F27" s="118">
        <f t="shared" si="2"/>
        <v>0.62445973779440944</v>
      </c>
      <c r="G27" s="324">
        <f>+F27*0.75+E27*0.25</f>
        <v>0.61091740836887864</v>
      </c>
      <c r="H27" s="232">
        <f t="shared" si="4"/>
        <v>6526652.4366239682</v>
      </c>
      <c r="I27" s="286"/>
    </row>
    <row r="28" spans="1:9" ht="15.75">
      <c r="A28" s="89">
        <f t="shared" si="0"/>
        <v>2013</v>
      </c>
      <c r="B28" s="116">
        <f>+'Input Data'!C25</f>
        <v>10430225</v>
      </c>
      <c r="C28" s="261">
        <f>+'Exercise 7 &amp; 8 PD Dev Meth  (2)'!F28</f>
        <v>3169957.4119148832</v>
      </c>
      <c r="D28" s="261">
        <f>+'Exercise 7 &amp; 8 Inc Dev Meth'!F28</f>
        <v>3789306.246654748</v>
      </c>
      <c r="E28" s="118">
        <f t="shared" si="1"/>
        <v>0.30392032884380571</v>
      </c>
      <c r="F28" s="118">
        <f t="shared" si="2"/>
        <v>0.3633005277119859</v>
      </c>
      <c r="G28" s="324">
        <f>+F28*0.8+E28*0.2</f>
        <v>0.35142448793834991</v>
      </c>
      <c r="H28" s="232">
        <f t="shared" si="4"/>
        <v>3665436.4797067759</v>
      </c>
      <c r="I28" s="286"/>
    </row>
    <row r="29" spans="1:9" ht="15.75">
      <c r="A29" s="89">
        <f t="shared" si="0"/>
        <v>2014</v>
      </c>
      <c r="B29" s="116">
        <f>+'Input Data'!C26</f>
        <v>10106327</v>
      </c>
      <c r="C29" s="261">
        <f>+'Exercise 7 &amp; 8 PD Dev Meth  (2)'!F29</f>
        <v>4010116.8846343365</v>
      </c>
      <c r="D29" s="261">
        <f>+'Exercise 7 &amp; 8 Inc Dev Meth'!F29</f>
        <v>4502480.2348786611</v>
      </c>
      <c r="E29" s="118">
        <f t="shared" si="1"/>
        <v>0.39679271060933774</v>
      </c>
      <c r="F29" s="118">
        <f t="shared" si="2"/>
        <v>0.4455110382712395</v>
      </c>
      <c r="G29" s="324">
        <f>+F29*0.85+E29*0.15</f>
        <v>0.43820328912195428</v>
      </c>
      <c r="H29" s="232">
        <f t="shared" si="4"/>
        <v>4428625.7323420132</v>
      </c>
      <c r="I29" s="286"/>
    </row>
    <row r="30" spans="1:9" ht="15.75">
      <c r="A30" s="89">
        <f>+A31-1</f>
        <v>2015</v>
      </c>
      <c r="B30" s="116">
        <f>+'Input Data'!C27</f>
        <v>9889744</v>
      </c>
      <c r="C30" s="261">
        <f>+'Exercise 7 &amp; 8 PD Dev Meth  (2)'!F30</f>
        <v>2415496.0256669889</v>
      </c>
      <c r="D30" s="261">
        <f>+'Exercise 7 &amp; 8 Inc Dev Meth'!F30</f>
        <v>4323484.1717564268</v>
      </c>
      <c r="E30" s="118">
        <f t="shared" si="1"/>
        <v>0.24424252292748821</v>
      </c>
      <c r="F30" s="118">
        <f t="shared" si="2"/>
        <v>0.43716846176770874</v>
      </c>
      <c r="G30" s="324">
        <f>+F30*0.9+E30*0.1</f>
        <v>0.41787586788368669</v>
      </c>
      <c r="H30" s="232">
        <f t="shared" si="4"/>
        <v>4132685.3571474832</v>
      </c>
      <c r="I30" s="286"/>
    </row>
    <row r="31" spans="1:9" ht="15.75">
      <c r="A31" s="89">
        <f>+EndYear</f>
        <v>2016</v>
      </c>
      <c r="B31" s="116">
        <f>+'Input Data'!C28</f>
        <v>9998035.5</v>
      </c>
      <c r="C31" s="261">
        <f>+'Exercise 7 &amp; 8 PD Dev Meth  (2)'!F31</f>
        <v>2921696.6162085156</v>
      </c>
      <c r="D31" s="261">
        <f>+'Exercise 7 &amp; 8 Inc Dev Meth'!F31</f>
        <v>6315902.4454309791</v>
      </c>
      <c r="E31" s="118">
        <f t="shared" si="1"/>
        <v>0.29222706962868011</v>
      </c>
      <c r="F31" s="118">
        <f t="shared" si="2"/>
        <v>0.63171434482613897</v>
      </c>
      <c r="G31" s="324">
        <f>+F31*0.95+E31*0.05</f>
        <v>0.61473998106626604</v>
      </c>
      <c r="H31" s="232">
        <f t="shared" si="4"/>
        <v>6146192.153969856</v>
      </c>
      <c r="I31" s="286"/>
    </row>
    <row r="32" spans="1:9">
      <c r="A32" s="89"/>
      <c r="B32" s="114"/>
      <c r="C32" s="301"/>
      <c r="D32" s="301"/>
      <c r="E32" s="95"/>
      <c r="F32" s="95"/>
      <c r="G32" s="171"/>
      <c r="H32" s="285"/>
    </row>
    <row r="33" spans="1:8">
      <c r="A33" s="97" t="s">
        <v>63</v>
      </c>
      <c r="B33" s="98">
        <f>SUM(B16:B32)</f>
        <v>139880468.5</v>
      </c>
      <c r="C33" s="274">
        <f>+SUM(C17:C31)</f>
        <v>61471395.736132346</v>
      </c>
      <c r="D33" s="284">
        <f>+SUM(D17:D31)</f>
        <v>69984271.668133497</v>
      </c>
      <c r="E33" s="119">
        <f>C33/B33</f>
        <v>0.43945660459474617</v>
      </c>
      <c r="F33" s="119">
        <f>D33/B33</f>
        <v>0.50031482178037956</v>
      </c>
      <c r="G33" s="98" t="s">
        <v>33</v>
      </c>
      <c r="H33" s="224">
        <f>SUM(H16:H32)</f>
        <v>68521231.027844816</v>
      </c>
    </row>
    <row r="35" spans="1:8" ht="15.75">
      <c r="B35" s="100"/>
      <c r="C35" s="121"/>
      <c r="D35" s="120" t="str">
        <f>+"Average "&amp;A23&amp;" through "&amp;A28</f>
        <v>Average 2008 through 2013</v>
      </c>
      <c r="E35" s="121">
        <f>AVERAGE(E23:E28)</f>
        <v>0.42453556745603077</v>
      </c>
      <c r="F35" s="121">
        <f>AVERAGE(F23:F28)</f>
        <v>0.45193214824595535</v>
      </c>
    </row>
    <row r="36" spans="1:8" ht="15.75">
      <c r="A36" s="100"/>
      <c r="B36" s="101"/>
    </row>
    <row r="37" spans="1:8">
      <c r="C37" s="298" t="s">
        <v>152</v>
      </c>
      <c r="D37" s="297"/>
    </row>
    <row r="38" spans="1:8">
      <c r="C38" s="298" t="s">
        <v>153</v>
      </c>
    </row>
    <row r="39" spans="1:8">
      <c r="C39" s="298" t="s">
        <v>154</v>
      </c>
    </row>
    <row r="110" spans="2:6">
      <c r="B110" s="103">
        <f>+'Input Data'!C14</f>
        <v>6953372</v>
      </c>
      <c r="C110" s="109">
        <f>+'Exercise 7 &amp; 8 PD Dev Meth  '!F110</f>
        <v>4066336.3900369992</v>
      </c>
      <c r="D110" s="109">
        <f>+'Exercise 7 &amp; 8 Inc Dev Meth'!F17</f>
        <v>4230708.2989949994</v>
      </c>
      <c r="E110" s="255">
        <f>+C110/$B110</f>
        <v>0.58480063917722214</v>
      </c>
      <c r="F110" s="255">
        <f>+D110/$B110</f>
        <v>0.60843980431292899</v>
      </c>
    </row>
    <row r="111" spans="2:6">
      <c r="B111" s="103">
        <f>+'Input Data'!C15</f>
        <v>6567116</v>
      </c>
      <c r="C111" s="109">
        <f>+'Exercise 7 &amp; 8 PD Dev Meth  '!F111</f>
        <v>3271028.46</v>
      </c>
      <c r="D111" s="109">
        <f>+'Exercise 7 &amp; 8 Inc Dev Meth'!F18</f>
        <v>3320551.0000000005</v>
      </c>
      <c r="E111" s="255">
        <f t="shared" ref="E111:F124" si="5">+C111/$B111</f>
        <v>0.49809207877552336</v>
      </c>
      <c r="F111" s="255">
        <f t="shared" si="5"/>
        <v>0.50563306632622307</v>
      </c>
    </row>
    <row r="112" spans="2:6">
      <c r="B112" s="103">
        <f>+'Input Data'!C16</f>
        <v>6690146</v>
      </c>
      <c r="C112" s="109">
        <f>+'Exercise 7 &amp; 8 PD Dev Meth  '!F112</f>
        <v>4586913</v>
      </c>
      <c r="D112" s="109">
        <f>+'Exercise 7 &amp; 8 Inc Dev Meth'!F19</f>
        <v>4646721.5151396068</v>
      </c>
      <c r="E112" s="255">
        <f t="shared" si="5"/>
        <v>0.68562225697316626</v>
      </c>
      <c r="F112" s="255">
        <f t="shared" si="5"/>
        <v>0.69456204918989917</v>
      </c>
    </row>
    <row r="113" spans="2:6">
      <c r="B113" s="103">
        <f>+'Input Data'!C17</f>
        <v>7103262.0000000009</v>
      </c>
      <c r="C113" s="109">
        <f>+'Exercise 7 &amp; 8 PD Dev Meth  '!F113</f>
        <v>4556737.22</v>
      </c>
      <c r="D113" s="109">
        <f>+'Exercise 7 &amp; 8 Inc Dev Meth'!F20</f>
        <v>4683358.6224301504</v>
      </c>
      <c r="E113" s="255">
        <f t="shared" si="5"/>
        <v>0.64149924640256817</v>
      </c>
      <c r="F113" s="255">
        <f t="shared" si="5"/>
        <v>0.65932505691471743</v>
      </c>
    </row>
    <row r="114" spans="2:6">
      <c r="B114" s="103">
        <f>+'Input Data'!C18</f>
        <v>7959030</v>
      </c>
      <c r="C114" s="109">
        <f>+'Exercise 7 &amp; 8 PD Dev Meth  '!F114</f>
        <v>4357830.49</v>
      </c>
      <c r="D114" s="109">
        <f>+'Exercise 7 &amp; 8 Inc Dev Meth'!F21</f>
        <v>4858838.591131499</v>
      </c>
      <c r="E114" s="255">
        <f t="shared" si="5"/>
        <v>0.54753286392939848</v>
      </c>
      <c r="F114" s="255">
        <f t="shared" si="5"/>
        <v>0.61048125099811146</v>
      </c>
    </row>
    <row r="115" spans="2:6">
      <c r="B115" s="103">
        <f>+'Input Data'!C19</f>
        <v>9363418</v>
      </c>
      <c r="C115" s="109">
        <f>+'Exercise 7 &amp; 8 PD Dev Meth  '!F115</f>
        <v>3491787.7609999999</v>
      </c>
      <c r="D115" s="109">
        <f>+'Exercise 7 &amp; 8 Inc Dev Meth'!F22</f>
        <v>3541613.6865702062</v>
      </c>
      <c r="E115" s="255">
        <f t="shared" si="5"/>
        <v>0.37291806912817521</v>
      </c>
      <c r="F115" s="255">
        <f t="shared" si="5"/>
        <v>0.37823940857603561</v>
      </c>
    </row>
    <row r="116" spans="2:6">
      <c r="B116" s="103">
        <f>+'Input Data'!C20</f>
        <v>10597562</v>
      </c>
      <c r="C116" s="109">
        <f>+'Exercise 7 &amp; 8 PD Dev Meth  '!F116</f>
        <v>2639766.5030000005</v>
      </c>
      <c r="D116" s="109">
        <f>+'Exercise 7 &amp; 8 Inc Dev Meth'!F23</f>
        <v>2734738.6358561409</v>
      </c>
      <c r="E116" s="255">
        <f t="shared" si="5"/>
        <v>0.24909186688410037</v>
      </c>
      <c r="F116" s="255">
        <f t="shared" si="5"/>
        <v>0.25805356324937195</v>
      </c>
    </row>
    <row r="117" spans="2:6">
      <c r="B117" s="103">
        <f>+'Input Data'!C21</f>
        <v>11036360</v>
      </c>
      <c r="C117" s="109">
        <f>+'Exercise 7 &amp; 8 PD Dev Meth  '!F117</f>
        <v>2878245.6919723107</v>
      </c>
      <c r="D117" s="109">
        <f>+'Exercise 7 &amp; 8 Inc Dev Meth'!F24</f>
        <v>3170799.8275274825</v>
      </c>
      <c r="E117" s="255">
        <f t="shared" si="5"/>
        <v>0.26079664780528278</v>
      </c>
      <c r="F117" s="255">
        <f t="shared" si="5"/>
        <v>0.28730485663094374</v>
      </c>
    </row>
    <row r="118" spans="2:6">
      <c r="B118" s="103">
        <f>+'Input Data'!C22</f>
        <v>11402928</v>
      </c>
      <c r="C118" s="109">
        <f>+'Exercise 7 &amp; 8 PD Dev Meth  '!F118</f>
        <v>3863723.5309663927</v>
      </c>
      <c r="D118" s="109">
        <f>+'Exercise 7 &amp; 8 Inc Dev Meth'!F25</f>
        <v>4280388.0927642798</v>
      </c>
      <c r="E118" s="255">
        <f t="shared" si="5"/>
        <v>0.33883608937690324</v>
      </c>
      <c r="F118" s="255">
        <f t="shared" si="5"/>
        <v>0.37537622729568054</v>
      </c>
    </row>
    <row r="119" spans="2:6">
      <c r="B119" s="103">
        <f>+'Input Data'!C23</f>
        <v>11099580</v>
      </c>
      <c r="C119" s="109">
        <f>+'Exercise 7 &amp; 8 PD Dev Meth  '!F119</f>
        <v>9149140.177463524</v>
      </c>
      <c r="D119" s="109">
        <f>+'Exercise 7 &amp; 8 Inc Dev Meth'!F26</f>
        <v>8914050.2412558272</v>
      </c>
      <c r="E119" s="255">
        <f t="shared" si="5"/>
        <v>0.82427805173380653</v>
      </c>
      <c r="F119" s="255">
        <f t="shared" si="5"/>
        <v>0.80309797679334061</v>
      </c>
    </row>
    <row r="120" spans="2:6">
      <c r="B120" s="103">
        <f>+'Input Data'!C24</f>
        <v>10683363</v>
      </c>
      <c r="C120" s="109">
        <f>+'Exercise 7 &amp; 8 PD Dev Meth  '!F120</f>
        <v>6092619.5732683903</v>
      </c>
      <c r="D120" s="109">
        <f>+'Exercise 7 &amp; 8 Inc Dev Meth'!F27</f>
        <v>6671330.0577424951</v>
      </c>
      <c r="E120" s="255">
        <f t="shared" si="5"/>
        <v>0.57029042009228648</v>
      </c>
      <c r="F120" s="255">
        <f t="shared" si="5"/>
        <v>0.62445973779440944</v>
      </c>
    </row>
    <row r="121" spans="2:6">
      <c r="B121" s="103">
        <f>+'Input Data'!C25</f>
        <v>10430225</v>
      </c>
      <c r="C121" s="109">
        <f>+'Exercise 7 &amp; 8 PD Dev Meth  '!F121</f>
        <v>3169957.4119148832</v>
      </c>
      <c r="D121" s="109">
        <f>+'Exercise 7 &amp; 8 Inc Dev Meth'!F28</f>
        <v>3789306.246654748</v>
      </c>
      <c r="E121" s="255">
        <f t="shared" si="5"/>
        <v>0.30392032884380571</v>
      </c>
      <c r="F121" s="255">
        <f t="shared" si="5"/>
        <v>0.3633005277119859</v>
      </c>
    </row>
    <row r="122" spans="2:6">
      <c r="B122" s="103">
        <f>+'Input Data'!C26</f>
        <v>10106327</v>
      </c>
      <c r="C122" s="109">
        <f>+'Exercise 7 &amp; 8 PD Dev Meth  '!F122</f>
        <v>4010116.8846343365</v>
      </c>
      <c r="D122" s="109">
        <f>+'Exercise 7 &amp; 8 Inc Dev Meth'!F29</f>
        <v>4502480.2348786611</v>
      </c>
      <c r="E122" s="255">
        <f t="shared" si="5"/>
        <v>0.39679271060933774</v>
      </c>
      <c r="F122" s="255">
        <f t="shared" si="5"/>
        <v>0.4455110382712395</v>
      </c>
    </row>
    <row r="123" spans="2:6">
      <c r="B123" s="103">
        <f>+'Input Data'!C27</f>
        <v>9889744</v>
      </c>
      <c r="C123" s="109">
        <f>+'Exercise 7 &amp; 8 PD Dev Meth  '!F123</f>
        <v>2415496.0256669889</v>
      </c>
      <c r="D123" s="109">
        <f>+'Exercise 7 &amp; 8 Inc Dev Meth'!F30</f>
        <v>4323484.1717564268</v>
      </c>
      <c r="E123" s="255">
        <f t="shared" si="5"/>
        <v>0.24424252292748821</v>
      </c>
      <c r="F123" s="255">
        <f t="shared" si="5"/>
        <v>0.43716846176770874</v>
      </c>
    </row>
    <row r="124" spans="2:6">
      <c r="B124" s="103">
        <f>+'Input Data'!C28</f>
        <v>9998035.5</v>
      </c>
      <c r="C124" s="109">
        <f>+'Exercise 7 &amp; 8 PD Dev Meth  '!F124</f>
        <v>2921696.6162085156</v>
      </c>
      <c r="D124" s="109">
        <f>+'Exercise 7 &amp; 8 Inc Dev Meth'!F31</f>
        <v>6315902.4454309791</v>
      </c>
      <c r="E124" s="255">
        <f t="shared" si="5"/>
        <v>0.29222706962868011</v>
      </c>
      <c r="F124" s="255">
        <f t="shared" si="5"/>
        <v>0.63171434482613897</v>
      </c>
    </row>
    <row r="125" spans="2:6">
      <c r="B125" s="103"/>
    </row>
    <row r="126" spans="2:6">
      <c r="B126" s="103">
        <f>SUM(B110:B125)</f>
        <v>139880468.5</v>
      </c>
      <c r="C126" s="103">
        <f>SUM(C110:C125)</f>
        <v>61471395.736132346</v>
      </c>
      <c r="D126" s="316">
        <f>SUM(D110:D125)</f>
        <v>69984271.668133497</v>
      </c>
      <c r="E126" s="255">
        <f t="shared" ref="E126:F126" si="6">+C126/$B126</f>
        <v>0.43945660459474617</v>
      </c>
      <c r="F126" s="255">
        <f t="shared" si="6"/>
        <v>0.50031482178037956</v>
      </c>
    </row>
  </sheetData>
  <conditionalFormatting sqref="C17:C31">
    <cfRule type="cellIs" dxfId="56" priority="4" operator="notEqual">
      <formula>$C110</formula>
    </cfRule>
  </conditionalFormatting>
  <conditionalFormatting sqref="D17:D31">
    <cfRule type="cellIs" dxfId="55" priority="3" operator="notEqual">
      <formula>$D110</formula>
    </cfRule>
  </conditionalFormatting>
  <conditionalFormatting sqref="C33">
    <cfRule type="cellIs" dxfId="54" priority="2" operator="notEqual">
      <formula>$C126</formula>
    </cfRule>
  </conditionalFormatting>
  <conditionalFormatting sqref="D33">
    <cfRule type="cellIs" dxfId="53" priority="1" operator="notEqual">
      <formula>$D126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I122"/>
  <sheetViews>
    <sheetView showGridLines="0" topLeftCell="A9" workbookViewId="0">
      <selection sqref="A1:H29"/>
    </sheetView>
  </sheetViews>
  <sheetFormatPr defaultRowHeight="12.75"/>
  <cols>
    <col min="1" max="1" width="14.5703125" customWidth="1"/>
    <col min="2" max="2" width="18" customWidth="1"/>
    <col min="3" max="3" width="17.7109375" customWidth="1"/>
    <col min="4" max="4" width="17.28515625" customWidth="1"/>
    <col min="5" max="6" width="14.5703125" customWidth="1"/>
    <col min="7" max="7" width="14" bestFit="1" customWidth="1"/>
    <col min="8" max="8" width="17.42578125" customWidth="1"/>
    <col min="9" max="9" width="14.5703125" customWidth="1"/>
  </cols>
  <sheetData>
    <row r="1" spans="1:9" ht="15.75">
      <c r="A1" s="203" t="s">
        <v>0</v>
      </c>
      <c r="B1" s="73"/>
    </row>
    <row r="2" spans="1:9" ht="15.75">
      <c r="A2" s="204" t="str">
        <f>+"Analysis of Loss &amp; DCC Reserves as of "&amp;TEXT(EvalDate,"mm/dd/yyy")</f>
        <v>Analysis of Loss &amp; DCC Reserves as of 12/31/2016</v>
      </c>
      <c r="B2" s="73"/>
    </row>
    <row r="3" spans="1:9" ht="15.75">
      <c r="A3" s="205" t="str">
        <f>+LOB</f>
        <v>Liability</v>
      </c>
      <c r="B3" s="73"/>
    </row>
    <row r="4" spans="1:9" ht="15.75">
      <c r="B4" s="73"/>
    </row>
    <row r="5" spans="1:9" ht="15.75">
      <c r="A5" s="73" t="s">
        <v>80</v>
      </c>
      <c r="B5" s="73"/>
    </row>
    <row r="6" spans="1:9" ht="15.75">
      <c r="A6" s="73"/>
    </row>
    <row r="7" spans="1:9" ht="15.75">
      <c r="A7" s="73"/>
      <c r="B7" s="74"/>
      <c r="C7" s="74"/>
      <c r="D7" s="74"/>
      <c r="E7" s="74"/>
      <c r="F7" s="74"/>
      <c r="G7" s="74"/>
      <c r="H7" s="90"/>
    </row>
    <row r="8" spans="1:9" ht="15.75">
      <c r="A8" s="73"/>
      <c r="B8" s="79" t="s">
        <v>45</v>
      </c>
      <c r="C8" s="78" t="s">
        <v>46</v>
      </c>
      <c r="D8" s="80" t="s">
        <v>47</v>
      </c>
      <c r="E8" s="79" t="s">
        <v>48</v>
      </c>
      <c r="F8" s="79" t="s">
        <v>49</v>
      </c>
      <c r="G8" s="79" t="s">
        <v>50</v>
      </c>
      <c r="H8" s="79" t="s">
        <v>51</v>
      </c>
    </row>
    <row r="9" spans="1:9" ht="15.75">
      <c r="A9" s="76"/>
      <c r="B9" s="77"/>
      <c r="C9" s="76"/>
      <c r="D9" s="76"/>
      <c r="E9" s="86"/>
      <c r="F9" s="86"/>
      <c r="G9" s="83"/>
      <c r="H9" s="83" t="s">
        <v>81</v>
      </c>
    </row>
    <row r="10" spans="1:9" ht="15.75">
      <c r="A10" s="46" t="str">
        <f>'[1]Exercise 6 - Paid-Ldfs'!$A$10</f>
        <v>Accident</v>
      </c>
      <c r="B10" s="86" t="s">
        <v>143</v>
      </c>
      <c r="C10" s="83"/>
      <c r="D10" s="83"/>
      <c r="E10" s="86" t="s">
        <v>82</v>
      </c>
      <c r="F10" s="86" t="s">
        <v>82</v>
      </c>
      <c r="G10" s="83" t="s">
        <v>83</v>
      </c>
      <c r="H10" s="83" t="s">
        <v>54</v>
      </c>
    </row>
    <row r="11" spans="1:9" ht="15.75">
      <c r="A11" s="87" t="s">
        <v>5</v>
      </c>
      <c r="B11" s="115" t="s">
        <v>58</v>
      </c>
      <c r="C11" s="87" t="s">
        <v>84</v>
      </c>
      <c r="D11" s="87" t="s">
        <v>85</v>
      </c>
      <c r="E11" s="88" t="s">
        <v>84</v>
      </c>
      <c r="F11" s="88" t="s">
        <v>85</v>
      </c>
      <c r="G11" s="87" t="str">
        <f>F10</f>
        <v>Loss Ratio</v>
      </c>
      <c r="H11" s="87" t="s">
        <v>73</v>
      </c>
    </row>
    <row r="12" spans="1:9">
      <c r="A12" s="89"/>
      <c r="B12" s="110"/>
      <c r="C12" s="91"/>
      <c r="D12" s="90"/>
      <c r="E12" s="90"/>
      <c r="F12" s="90"/>
      <c r="G12" s="90"/>
      <c r="H12" s="90"/>
    </row>
    <row r="13" spans="1:9" ht="15.75">
      <c r="A13" s="89">
        <f t="shared" ref="A13:A25" si="0">+A14-1</f>
        <v>2002</v>
      </c>
      <c r="B13" s="116">
        <f>+'Input Data'!C14</f>
        <v>6953372</v>
      </c>
      <c r="C13" s="261"/>
      <c r="D13" s="261"/>
      <c r="E13" s="118">
        <f>C13/B13</f>
        <v>0</v>
      </c>
      <c r="F13" s="118">
        <f>D13/B13</f>
        <v>0</v>
      </c>
      <c r="G13" s="231"/>
      <c r="H13" s="232">
        <f>+G13*B13</f>
        <v>0</v>
      </c>
      <c r="I13" s="286"/>
    </row>
    <row r="14" spans="1:9" ht="15.75">
      <c r="A14" s="89">
        <f t="shared" si="0"/>
        <v>2003</v>
      </c>
      <c r="B14" s="116">
        <f>+'Input Data'!C15</f>
        <v>6567116</v>
      </c>
      <c r="C14" s="261"/>
      <c r="D14" s="261"/>
      <c r="E14" s="118">
        <f t="shared" ref="E14:E27" si="1">C14/B14</f>
        <v>0</v>
      </c>
      <c r="F14" s="118">
        <f t="shared" ref="F14:F27" si="2">D14/B14</f>
        <v>0</v>
      </c>
      <c r="G14" s="231"/>
      <c r="H14" s="232">
        <f t="shared" ref="H14:H27" si="3">+G14*B14</f>
        <v>0</v>
      </c>
      <c r="I14" s="286"/>
    </row>
    <row r="15" spans="1:9" ht="15.75">
      <c r="A15" s="89">
        <f t="shared" si="0"/>
        <v>2004</v>
      </c>
      <c r="B15" s="116">
        <f>+'Input Data'!C16</f>
        <v>6690146</v>
      </c>
      <c r="C15" s="261"/>
      <c r="D15" s="261"/>
      <c r="E15" s="118">
        <f t="shared" si="1"/>
        <v>0</v>
      </c>
      <c r="F15" s="118">
        <f t="shared" si="2"/>
        <v>0</v>
      </c>
      <c r="G15" s="231"/>
      <c r="H15" s="232">
        <f t="shared" si="3"/>
        <v>0</v>
      </c>
      <c r="I15" s="286"/>
    </row>
    <row r="16" spans="1:9" ht="15.75">
      <c r="A16" s="89">
        <f t="shared" si="0"/>
        <v>2005</v>
      </c>
      <c r="B16" s="116">
        <f>+'Input Data'!C17</f>
        <v>7103262.0000000009</v>
      </c>
      <c r="C16" s="261"/>
      <c r="D16" s="261"/>
      <c r="E16" s="118">
        <f t="shared" si="1"/>
        <v>0</v>
      </c>
      <c r="F16" s="118">
        <f t="shared" si="2"/>
        <v>0</v>
      </c>
      <c r="G16" s="231"/>
      <c r="H16" s="232">
        <f t="shared" si="3"/>
        <v>0</v>
      </c>
      <c r="I16" s="286"/>
    </row>
    <row r="17" spans="1:9" ht="15.75">
      <c r="A17" s="89">
        <f t="shared" si="0"/>
        <v>2006</v>
      </c>
      <c r="B17" s="116">
        <f>+'Input Data'!C18</f>
        <v>7959030</v>
      </c>
      <c r="C17" s="261"/>
      <c r="D17" s="261"/>
      <c r="E17" s="118">
        <f t="shared" si="1"/>
        <v>0</v>
      </c>
      <c r="F17" s="118">
        <f t="shared" si="2"/>
        <v>0</v>
      </c>
      <c r="G17" s="231"/>
      <c r="H17" s="232">
        <f t="shared" si="3"/>
        <v>0</v>
      </c>
      <c r="I17" s="286"/>
    </row>
    <row r="18" spans="1:9" ht="15.75">
      <c r="A18" s="89">
        <f t="shared" si="0"/>
        <v>2007</v>
      </c>
      <c r="B18" s="116">
        <f>+'Input Data'!C19</f>
        <v>9363418</v>
      </c>
      <c r="C18" s="261"/>
      <c r="D18" s="261"/>
      <c r="E18" s="118">
        <f t="shared" si="1"/>
        <v>0</v>
      </c>
      <c r="F18" s="118">
        <f t="shared" si="2"/>
        <v>0</v>
      </c>
      <c r="G18" s="231"/>
      <c r="H18" s="232">
        <f t="shared" si="3"/>
        <v>0</v>
      </c>
      <c r="I18" s="286"/>
    </row>
    <row r="19" spans="1:9" ht="15.75">
      <c r="A19" s="89">
        <f t="shared" si="0"/>
        <v>2008</v>
      </c>
      <c r="B19" s="116">
        <f>+'Input Data'!C20</f>
        <v>10597562</v>
      </c>
      <c r="C19" s="261"/>
      <c r="D19" s="261"/>
      <c r="E19" s="118">
        <f t="shared" si="1"/>
        <v>0</v>
      </c>
      <c r="F19" s="118">
        <f t="shared" si="2"/>
        <v>0</v>
      </c>
      <c r="G19" s="231"/>
      <c r="H19" s="232">
        <f t="shared" si="3"/>
        <v>0</v>
      </c>
      <c r="I19" s="286"/>
    </row>
    <row r="20" spans="1:9" ht="15.75">
      <c r="A20" s="89">
        <f t="shared" si="0"/>
        <v>2009</v>
      </c>
      <c r="B20" s="116">
        <f>+'Input Data'!C21</f>
        <v>11036360</v>
      </c>
      <c r="C20" s="261"/>
      <c r="D20" s="261"/>
      <c r="E20" s="118">
        <f t="shared" si="1"/>
        <v>0</v>
      </c>
      <c r="F20" s="118">
        <f t="shared" si="2"/>
        <v>0</v>
      </c>
      <c r="G20" s="231"/>
      <c r="H20" s="232">
        <f t="shared" si="3"/>
        <v>0</v>
      </c>
      <c r="I20" s="286"/>
    </row>
    <row r="21" spans="1:9" ht="15.75">
      <c r="A21" s="89">
        <f t="shared" si="0"/>
        <v>2010</v>
      </c>
      <c r="B21" s="116">
        <f>+'Input Data'!C22</f>
        <v>11402928</v>
      </c>
      <c r="C21" s="261"/>
      <c r="D21" s="261"/>
      <c r="E21" s="118">
        <f t="shared" si="1"/>
        <v>0</v>
      </c>
      <c r="F21" s="118">
        <f t="shared" si="2"/>
        <v>0</v>
      </c>
      <c r="G21" s="231"/>
      <c r="H21" s="232">
        <f t="shared" si="3"/>
        <v>0</v>
      </c>
      <c r="I21" s="286"/>
    </row>
    <row r="22" spans="1:9" ht="15.75">
      <c r="A22" s="89">
        <f t="shared" si="0"/>
        <v>2011</v>
      </c>
      <c r="B22" s="116">
        <f>+'Input Data'!C23</f>
        <v>11099580</v>
      </c>
      <c r="C22" s="261"/>
      <c r="D22" s="261"/>
      <c r="E22" s="118">
        <f t="shared" si="1"/>
        <v>0</v>
      </c>
      <c r="F22" s="118">
        <f t="shared" si="2"/>
        <v>0</v>
      </c>
      <c r="G22" s="231"/>
      <c r="H22" s="232">
        <f t="shared" si="3"/>
        <v>0</v>
      </c>
      <c r="I22" s="286"/>
    </row>
    <row r="23" spans="1:9" ht="15.75">
      <c r="A23" s="89">
        <f t="shared" si="0"/>
        <v>2012</v>
      </c>
      <c r="B23" s="116">
        <f>+'Input Data'!C24</f>
        <v>10683363</v>
      </c>
      <c r="C23" s="261"/>
      <c r="D23" s="261"/>
      <c r="E23" s="118">
        <f t="shared" si="1"/>
        <v>0</v>
      </c>
      <c r="F23" s="118">
        <f t="shared" si="2"/>
        <v>0</v>
      </c>
      <c r="G23" s="324"/>
      <c r="H23" s="232">
        <f t="shared" si="3"/>
        <v>0</v>
      </c>
      <c r="I23" s="286"/>
    </row>
    <row r="24" spans="1:9" ht="15.75">
      <c r="A24" s="89">
        <f t="shared" si="0"/>
        <v>2013</v>
      </c>
      <c r="B24" s="116">
        <f>+'Input Data'!C25</f>
        <v>10430225</v>
      </c>
      <c r="C24" s="261"/>
      <c r="D24" s="261"/>
      <c r="E24" s="118">
        <f t="shared" si="1"/>
        <v>0</v>
      </c>
      <c r="F24" s="118">
        <f t="shared" si="2"/>
        <v>0</v>
      </c>
      <c r="G24" s="324"/>
      <c r="H24" s="232">
        <f t="shared" si="3"/>
        <v>0</v>
      </c>
      <c r="I24" s="286"/>
    </row>
    <row r="25" spans="1:9" ht="15.75">
      <c r="A25" s="89">
        <f t="shared" si="0"/>
        <v>2014</v>
      </c>
      <c r="B25" s="116">
        <f>+'Input Data'!C26</f>
        <v>10106327</v>
      </c>
      <c r="C25" s="261"/>
      <c r="D25" s="261"/>
      <c r="E25" s="118">
        <f t="shared" si="1"/>
        <v>0</v>
      </c>
      <c r="F25" s="118">
        <f t="shared" si="2"/>
        <v>0</v>
      </c>
      <c r="G25" s="324"/>
      <c r="H25" s="232">
        <f t="shared" si="3"/>
        <v>0</v>
      </c>
      <c r="I25" s="286"/>
    </row>
    <row r="26" spans="1:9" ht="15.75">
      <c r="A26" s="89">
        <f>+A27-1</f>
        <v>2015</v>
      </c>
      <c r="B26" s="116">
        <f>+'Input Data'!C27</f>
        <v>9889744</v>
      </c>
      <c r="C26" s="261"/>
      <c r="D26" s="261"/>
      <c r="E26" s="118">
        <f t="shared" si="1"/>
        <v>0</v>
      </c>
      <c r="F26" s="118">
        <f t="shared" si="2"/>
        <v>0</v>
      </c>
      <c r="G26" s="324"/>
      <c r="H26" s="232">
        <f t="shared" si="3"/>
        <v>0</v>
      </c>
      <c r="I26" s="286"/>
    </row>
    <row r="27" spans="1:9" ht="15.75">
      <c r="A27" s="89">
        <f>+EndYear</f>
        <v>2016</v>
      </c>
      <c r="B27" s="116">
        <f>+'Input Data'!C28</f>
        <v>9998035.5</v>
      </c>
      <c r="C27" s="261"/>
      <c r="D27" s="261"/>
      <c r="E27" s="118">
        <f t="shared" si="1"/>
        <v>0</v>
      </c>
      <c r="F27" s="118">
        <f t="shared" si="2"/>
        <v>0</v>
      </c>
      <c r="G27" s="324"/>
      <c r="H27" s="232">
        <f t="shared" si="3"/>
        <v>0</v>
      </c>
      <c r="I27" s="286"/>
    </row>
    <row r="28" spans="1:9">
      <c r="A28" s="89"/>
      <c r="B28" s="114"/>
      <c r="C28" s="301"/>
      <c r="D28" s="301"/>
      <c r="E28" s="95"/>
      <c r="F28" s="95"/>
      <c r="G28" s="171"/>
      <c r="H28" s="285"/>
    </row>
    <row r="29" spans="1:9">
      <c r="A29" s="97" t="s">
        <v>63</v>
      </c>
      <c r="B29" s="98">
        <f>SUM(B12:B28)</f>
        <v>139880468.5</v>
      </c>
      <c r="C29" s="274">
        <f>+SUM(C13:C27)</f>
        <v>0</v>
      </c>
      <c r="D29" s="284">
        <f>+SUM(D13:D27)</f>
        <v>0</v>
      </c>
      <c r="E29" s="119">
        <f>C29/B29</f>
        <v>0</v>
      </c>
      <c r="F29" s="119">
        <f>D29/B29</f>
        <v>0</v>
      </c>
      <c r="G29" s="98" t="s">
        <v>33</v>
      </c>
      <c r="H29" s="224">
        <f>SUM(H12:H28)</f>
        <v>0</v>
      </c>
    </row>
    <row r="31" spans="1:9" ht="15.75">
      <c r="B31" s="100"/>
      <c r="C31" s="121"/>
      <c r="D31" s="120" t="str">
        <f>+"Average "&amp;A19&amp;" through "&amp;A24</f>
        <v>Average 2008 through 2013</v>
      </c>
      <c r="E31" s="121">
        <f>AVERAGE(E19:E24)</f>
        <v>0</v>
      </c>
      <c r="F31" s="121">
        <f>AVERAGE(F19:F24)</f>
        <v>0</v>
      </c>
    </row>
    <row r="32" spans="1:9" ht="15.75">
      <c r="A32" s="100"/>
      <c r="B32" s="101"/>
    </row>
    <row r="33" spans="3:4">
      <c r="C33" s="298" t="s">
        <v>152</v>
      </c>
      <c r="D33" s="297"/>
    </row>
    <row r="34" spans="3:4">
      <c r="C34" s="298" t="s">
        <v>153</v>
      </c>
    </row>
    <row r="35" spans="3:4">
      <c r="C35" s="298" t="s">
        <v>154</v>
      </c>
    </row>
    <row r="106" spans="2:6">
      <c r="B106" s="103">
        <f>+'Input Data'!C14</f>
        <v>6953372</v>
      </c>
      <c r="C106" s="109">
        <f>+'Exercise 7 &amp; 8 PD Dev Meth  '!F110</f>
        <v>4066336.3900369992</v>
      </c>
      <c r="D106" s="109">
        <f>+'Exercise 7 &amp; 8 Inc Dev Meth'!F17</f>
        <v>4230708.2989949994</v>
      </c>
      <c r="E106" s="255">
        <f>+C106/$B106</f>
        <v>0.58480063917722214</v>
      </c>
      <c r="F106" s="255">
        <f>+D106/$B106</f>
        <v>0.60843980431292899</v>
      </c>
    </row>
    <row r="107" spans="2:6">
      <c r="B107" s="103">
        <f>+'Input Data'!C15</f>
        <v>6567116</v>
      </c>
      <c r="C107" s="109">
        <f>+'Exercise 7 &amp; 8 PD Dev Meth  '!F111</f>
        <v>3271028.46</v>
      </c>
      <c r="D107" s="109">
        <f>+'Exercise 7 &amp; 8 Inc Dev Meth'!F18</f>
        <v>3320551.0000000005</v>
      </c>
      <c r="E107" s="255">
        <f t="shared" ref="E107:E120" si="4">+C107/$B107</f>
        <v>0.49809207877552336</v>
      </c>
      <c r="F107" s="255">
        <f t="shared" ref="F107:F120" si="5">+D107/$B107</f>
        <v>0.50563306632622307</v>
      </c>
    </row>
    <row r="108" spans="2:6">
      <c r="B108" s="103">
        <f>+'Input Data'!C16</f>
        <v>6690146</v>
      </c>
      <c r="C108" s="109">
        <f>+'Exercise 7 &amp; 8 PD Dev Meth  '!F112</f>
        <v>4586913</v>
      </c>
      <c r="D108" s="109">
        <f>+'Exercise 7 &amp; 8 Inc Dev Meth'!F19</f>
        <v>4646721.5151396068</v>
      </c>
      <c r="E108" s="255">
        <f t="shared" si="4"/>
        <v>0.68562225697316626</v>
      </c>
      <c r="F108" s="255">
        <f t="shared" si="5"/>
        <v>0.69456204918989917</v>
      </c>
    </row>
    <row r="109" spans="2:6">
      <c r="B109" s="103">
        <f>+'Input Data'!C17</f>
        <v>7103262.0000000009</v>
      </c>
      <c r="C109" s="109">
        <f>+'Exercise 7 &amp; 8 PD Dev Meth  '!F113</f>
        <v>4556737.22</v>
      </c>
      <c r="D109" s="109">
        <f>+'Exercise 7 &amp; 8 Inc Dev Meth'!F20</f>
        <v>4683358.6224301504</v>
      </c>
      <c r="E109" s="255">
        <f t="shared" si="4"/>
        <v>0.64149924640256817</v>
      </c>
      <c r="F109" s="255">
        <f t="shared" si="5"/>
        <v>0.65932505691471743</v>
      </c>
    </row>
    <row r="110" spans="2:6">
      <c r="B110" s="103">
        <f>+'Input Data'!C18</f>
        <v>7959030</v>
      </c>
      <c r="C110" s="109">
        <f>+'Exercise 7 &amp; 8 PD Dev Meth  '!F114</f>
        <v>4357830.49</v>
      </c>
      <c r="D110" s="109">
        <f>+'Exercise 7 &amp; 8 Inc Dev Meth'!F21</f>
        <v>4858838.591131499</v>
      </c>
      <c r="E110" s="255">
        <f t="shared" si="4"/>
        <v>0.54753286392939848</v>
      </c>
      <c r="F110" s="255">
        <f t="shared" si="5"/>
        <v>0.61048125099811146</v>
      </c>
    </row>
    <row r="111" spans="2:6">
      <c r="B111" s="103">
        <f>+'Input Data'!C19</f>
        <v>9363418</v>
      </c>
      <c r="C111" s="109">
        <f>+'Exercise 7 &amp; 8 PD Dev Meth  '!F115</f>
        <v>3491787.7609999999</v>
      </c>
      <c r="D111" s="109">
        <f>+'Exercise 7 &amp; 8 Inc Dev Meth'!F22</f>
        <v>3541613.6865702062</v>
      </c>
      <c r="E111" s="255">
        <f t="shared" si="4"/>
        <v>0.37291806912817521</v>
      </c>
      <c r="F111" s="255">
        <f t="shared" si="5"/>
        <v>0.37823940857603561</v>
      </c>
    </row>
    <row r="112" spans="2:6">
      <c r="B112" s="103">
        <f>+'Input Data'!C20</f>
        <v>10597562</v>
      </c>
      <c r="C112" s="109">
        <f>+'Exercise 7 &amp; 8 PD Dev Meth  '!F116</f>
        <v>2639766.5030000005</v>
      </c>
      <c r="D112" s="109">
        <f>+'Exercise 7 &amp; 8 Inc Dev Meth'!F23</f>
        <v>2734738.6358561409</v>
      </c>
      <c r="E112" s="255">
        <f t="shared" si="4"/>
        <v>0.24909186688410037</v>
      </c>
      <c r="F112" s="255">
        <f t="shared" si="5"/>
        <v>0.25805356324937195</v>
      </c>
    </row>
    <row r="113" spans="2:6">
      <c r="B113" s="103">
        <f>+'Input Data'!C21</f>
        <v>11036360</v>
      </c>
      <c r="C113" s="109">
        <f>+'Exercise 7 &amp; 8 PD Dev Meth  '!F117</f>
        <v>2878245.6919723107</v>
      </c>
      <c r="D113" s="109">
        <f>+'Exercise 7 &amp; 8 Inc Dev Meth'!F24</f>
        <v>3170799.8275274825</v>
      </c>
      <c r="E113" s="255">
        <f t="shared" si="4"/>
        <v>0.26079664780528278</v>
      </c>
      <c r="F113" s="255">
        <f t="shared" si="5"/>
        <v>0.28730485663094374</v>
      </c>
    </row>
    <row r="114" spans="2:6">
      <c r="B114" s="103">
        <f>+'Input Data'!C22</f>
        <v>11402928</v>
      </c>
      <c r="C114" s="109">
        <f>+'Exercise 7 &amp; 8 PD Dev Meth  '!F118</f>
        <v>3863723.5309663927</v>
      </c>
      <c r="D114" s="109">
        <f>+'Exercise 7 &amp; 8 Inc Dev Meth'!F25</f>
        <v>4280388.0927642798</v>
      </c>
      <c r="E114" s="255">
        <f t="shared" si="4"/>
        <v>0.33883608937690324</v>
      </c>
      <c r="F114" s="255">
        <f t="shared" si="5"/>
        <v>0.37537622729568054</v>
      </c>
    </row>
    <row r="115" spans="2:6">
      <c r="B115" s="103">
        <f>+'Input Data'!C23</f>
        <v>11099580</v>
      </c>
      <c r="C115" s="109">
        <f>+'Exercise 7 &amp; 8 PD Dev Meth  '!F119</f>
        <v>9149140.177463524</v>
      </c>
      <c r="D115" s="109">
        <f>+'Exercise 7 &amp; 8 Inc Dev Meth'!F26</f>
        <v>8914050.2412558272</v>
      </c>
      <c r="E115" s="255">
        <f t="shared" si="4"/>
        <v>0.82427805173380653</v>
      </c>
      <c r="F115" s="255">
        <f t="shared" si="5"/>
        <v>0.80309797679334061</v>
      </c>
    </row>
    <row r="116" spans="2:6">
      <c r="B116" s="103">
        <f>+'Input Data'!C24</f>
        <v>10683363</v>
      </c>
      <c r="C116" s="109">
        <f>+'Exercise 7 &amp; 8 PD Dev Meth  '!F120</f>
        <v>6092619.5732683903</v>
      </c>
      <c r="D116" s="109">
        <f>+'Exercise 7 &amp; 8 Inc Dev Meth'!F27</f>
        <v>6671330.0577424951</v>
      </c>
      <c r="E116" s="255">
        <f t="shared" si="4"/>
        <v>0.57029042009228648</v>
      </c>
      <c r="F116" s="255">
        <f t="shared" si="5"/>
        <v>0.62445973779440944</v>
      </c>
    </row>
    <row r="117" spans="2:6">
      <c r="B117" s="103">
        <f>+'Input Data'!C25</f>
        <v>10430225</v>
      </c>
      <c r="C117" s="109">
        <f>+'Exercise 7 &amp; 8 PD Dev Meth  '!F121</f>
        <v>3169957.4119148832</v>
      </c>
      <c r="D117" s="109">
        <f>+'Exercise 7 &amp; 8 Inc Dev Meth'!F28</f>
        <v>3789306.246654748</v>
      </c>
      <c r="E117" s="255">
        <f t="shared" si="4"/>
        <v>0.30392032884380571</v>
      </c>
      <c r="F117" s="255">
        <f t="shared" si="5"/>
        <v>0.3633005277119859</v>
      </c>
    </row>
    <row r="118" spans="2:6">
      <c r="B118" s="103">
        <f>+'Input Data'!C26</f>
        <v>10106327</v>
      </c>
      <c r="C118" s="109">
        <f>+'Exercise 7 &amp; 8 PD Dev Meth  '!F122</f>
        <v>4010116.8846343365</v>
      </c>
      <c r="D118" s="109">
        <f>+'Exercise 7 &amp; 8 Inc Dev Meth'!F29</f>
        <v>4502480.2348786611</v>
      </c>
      <c r="E118" s="255">
        <f t="shared" si="4"/>
        <v>0.39679271060933774</v>
      </c>
      <c r="F118" s="255">
        <f t="shared" si="5"/>
        <v>0.4455110382712395</v>
      </c>
    </row>
    <row r="119" spans="2:6">
      <c r="B119" s="103">
        <f>+'Input Data'!C27</f>
        <v>9889744</v>
      </c>
      <c r="C119" s="109">
        <f>+'Exercise 7 &amp; 8 PD Dev Meth  '!F123</f>
        <v>2415496.0256669889</v>
      </c>
      <c r="D119" s="109">
        <f>+'Exercise 7 &amp; 8 Inc Dev Meth'!F30</f>
        <v>4323484.1717564268</v>
      </c>
      <c r="E119" s="255">
        <f t="shared" si="4"/>
        <v>0.24424252292748821</v>
      </c>
      <c r="F119" s="255">
        <f t="shared" si="5"/>
        <v>0.43716846176770874</v>
      </c>
    </row>
    <row r="120" spans="2:6">
      <c r="B120" s="103">
        <f>+'Input Data'!C28</f>
        <v>9998035.5</v>
      </c>
      <c r="C120" s="109">
        <f>+'Exercise 7 &amp; 8 PD Dev Meth  '!F124</f>
        <v>2921696.6162085156</v>
      </c>
      <c r="D120" s="109">
        <f>+'Exercise 7 &amp; 8 Inc Dev Meth'!F31</f>
        <v>6315902.4454309791</v>
      </c>
      <c r="E120" s="255">
        <f t="shared" si="4"/>
        <v>0.29222706962868011</v>
      </c>
      <c r="F120" s="255">
        <f t="shared" si="5"/>
        <v>0.63171434482613897</v>
      </c>
    </row>
    <row r="121" spans="2:6">
      <c r="B121" s="103"/>
    </row>
    <row r="122" spans="2:6">
      <c r="B122" s="103">
        <f>SUM(B106:B121)</f>
        <v>139880468.5</v>
      </c>
      <c r="C122" s="103">
        <f>SUM(C106:C121)</f>
        <v>61471395.736132346</v>
      </c>
      <c r="D122" s="316">
        <f>SUM(D106:D121)</f>
        <v>69984271.668133497</v>
      </c>
      <c r="E122" s="255">
        <f t="shared" ref="E122" si="6">+C122/$B122</f>
        <v>0.43945660459474617</v>
      </c>
      <c r="F122" s="255">
        <f t="shared" ref="F122" si="7">+D122/$B122</f>
        <v>0.50031482178037956</v>
      </c>
    </row>
  </sheetData>
  <conditionalFormatting sqref="C13:C27">
    <cfRule type="cellIs" dxfId="25" priority="6" operator="notEqual">
      <formula>$C106</formula>
    </cfRule>
  </conditionalFormatting>
  <conditionalFormatting sqref="D13:D27">
    <cfRule type="cellIs" dxfId="24" priority="5" operator="notEqual">
      <formula>$D106</formula>
    </cfRule>
  </conditionalFormatting>
  <conditionalFormatting sqref="C29">
    <cfRule type="cellIs" dxfId="23" priority="4" operator="notEqual">
      <formula>$C122</formula>
    </cfRule>
  </conditionalFormatting>
  <conditionalFormatting sqref="D29">
    <cfRule type="cellIs" dxfId="22" priority="3" operator="notEqual">
      <formula>$D122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F0"/>
  </sheetPr>
  <dimension ref="A1:K125"/>
  <sheetViews>
    <sheetView showGridLines="0" topLeftCell="A11" workbookViewId="0">
      <selection activeCell="D15" sqref="D15:D29"/>
    </sheetView>
  </sheetViews>
  <sheetFormatPr defaultRowHeight="12.75"/>
  <cols>
    <col min="1" max="2" width="13.42578125" customWidth="1"/>
    <col min="3" max="3" width="18.7109375" customWidth="1"/>
    <col min="4" max="4" width="16.85546875" customWidth="1"/>
    <col min="5" max="5" width="13.42578125" customWidth="1"/>
    <col min="6" max="6" width="14.140625" customWidth="1"/>
    <col min="7" max="7" width="17.7109375" customWidth="1"/>
    <col min="8" max="9" width="17.28515625" customWidth="1"/>
    <col min="10" max="10" width="14.7109375" customWidth="1"/>
    <col min="11" max="11" width="1.5703125" customWidth="1"/>
    <col min="12" max="14" width="9.7109375" customWidth="1"/>
    <col min="15" max="15" width="14.140625" customWidth="1"/>
  </cols>
  <sheetData>
    <row r="1" spans="1:10" ht="15.75">
      <c r="A1" s="203" t="s">
        <v>0</v>
      </c>
      <c r="B1" s="73"/>
      <c r="C1" s="73"/>
      <c r="D1" s="73"/>
    </row>
    <row r="2" spans="1:10" ht="15.75">
      <c r="A2" s="204" t="str">
        <f>+"Analysis of Loss &amp; DCC Reserves as of "&amp;TEXT(EvalDate,"mm/dd/yyy")</f>
        <v>Analysis of Loss &amp; DCC Reserves as of 12/31/2016</v>
      </c>
      <c r="B2" s="73"/>
      <c r="C2" s="73"/>
      <c r="D2" s="73"/>
    </row>
    <row r="3" spans="1:10" ht="15.75">
      <c r="A3" s="205" t="str">
        <f>+LOB</f>
        <v>Liability</v>
      </c>
      <c r="B3" s="73"/>
      <c r="C3" s="73"/>
      <c r="D3" s="73"/>
    </row>
    <row r="5" spans="1:10" ht="15.75">
      <c r="A5" s="73" t="s">
        <v>86</v>
      </c>
      <c r="B5" s="73"/>
      <c r="C5" s="73"/>
      <c r="D5" s="73"/>
    </row>
    <row r="6" spans="1:10" ht="15.75">
      <c r="A6" s="73"/>
      <c r="B6" s="73"/>
      <c r="C6" s="73"/>
      <c r="D6" s="73"/>
    </row>
    <row r="7" spans="1:10" ht="15.75">
      <c r="A7" s="73"/>
      <c r="B7" s="74"/>
      <c r="C7" s="74"/>
      <c r="D7" s="74"/>
      <c r="E7" s="75"/>
      <c r="F7" s="76"/>
      <c r="G7" s="76"/>
      <c r="H7" s="76"/>
      <c r="I7" s="76"/>
      <c r="J7" s="76"/>
    </row>
    <row r="8" spans="1:10" ht="15.75">
      <c r="A8" s="73"/>
      <c r="B8" s="78" t="s">
        <v>45</v>
      </c>
      <c r="C8" s="79" t="s">
        <v>46</v>
      </c>
      <c r="D8" s="79" t="s">
        <v>47</v>
      </c>
      <c r="E8" s="79" t="s">
        <v>48</v>
      </c>
      <c r="F8" s="79" t="s">
        <v>49</v>
      </c>
      <c r="G8" s="79" t="s">
        <v>50</v>
      </c>
      <c r="H8" s="79" t="s">
        <v>51</v>
      </c>
      <c r="I8" s="79" t="s">
        <v>87</v>
      </c>
      <c r="J8" s="79" t="s">
        <v>104</v>
      </c>
    </row>
    <row r="9" spans="1:10" ht="15.75">
      <c r="A9" s="40"/>
      <c r="B9" s="81"/>
      <c r="C9" s="81"/>
      <c r="D9" s="81"/>
      <c r="E9" s="82"/>
      <c r="F9" s="83"/>
      <c r="G9" s="84"/>
      <c r="H9" s="76"/>
      <c r="I9" s="76"/>
      <c r="J9" s="76"/>
    </row>
    <row r="10" spans="1:10" ht="15.75">
      <c r="A10" s="46"/>
      <c r="B10" s="85"/>
      <c r="C10" s="85"/>
      <c r="D10" s="85"/>
      <c r="E10" s="86"/>
      <c r="F10" s="83"/>
      <c r="G10" s="83"/>
      <c r="H10" s="83"/>
      <c r="I10" s="83"/>
      <c r="J10" s="83"/>
    </row>
    <row r="11" spans="1:10" ht="15.75">
      <c r="A11" s="46"/>
      <c r="B11" s="85"/>
      <c r="C11" s="85"/>
      <c r="D11" s="85"/>
      <c r="E11" s="86"/>
      <c r="F11" s="83"/>
      <c r="G11" s="83" t="s">
        <v>130</v>
      </c>
      <c r="H11" s="83" t="s">
        <v>88</v>
      </c>
      <c r="I11" s="83" t="s">
        <v>54</v>
      </c>
      <c r="J11" s="83" t="s">
        <v>54</v>
      </c>
    </row>
    <row r="12" spans="1:10" ht="15.75">
      <c r="A12" s="46" t="s">
        <v>3</v>
      </c>
      <c r="B12" s="85"/>
      <c r="C12" s="86" t="s">
        <v>143</v>
      </c>
      <c r="D12" s="83" t="s">
        <v>81</v>
      </c>
      <c r="E12" s="86" t="s">
        <v>129</v>
      </c>
      <c r="F12" s="83" t="s">
        <v>54</v>
      </c>
      <c r="G12" s="86" t="s">
        <v>52</v>
      </c>
      <c r="H12" s="83" t="s">
        <v>60</v>
      </c>
      <c r="I12" s="83" t="s">
        <v>56</v>
      </c>
      <c r="J12" s="83" t="s">
        <v>89</v>
      </c>
    </row>
    <row r="13" spans="1:10" ht="15.75">
      <c r="A13" s="87" t="s">
        <v>5</v>
      </c>
      <c r="B13" s="88" t="s">
        <v>57</v>
      </c>
      <c r="C13" s="88" t="s">
        <v>58</v>
      </c>
      <c r="D13" s="87" t="s">
        <v>73</v>
      </c>
      <c r="E13" s="87" t="s">
        <v>90</v>
      </c>
      <c r="F13" s="86" t="s">
        <v>129</v>
      </c>
      <c r="G13" s="87" t="s">
        <v>53</v>
      </c>
      <c r="H13" s="87" t="s">
        <v>73</v>
      </c>
      <c r="I13" s="83" t="s">
        <v>91</v>
      </c>
      <c r="J13" s="83" t="s">
        <v>91</v>
      </c>
    </row>
    <row r="14" spans="1:10">
      <c r="A14" s="89"/>
      <c r="B14" s="89"/>
      <c r="C14" s="89"/>
      <c r="D14" s="89"/>
      <c r="E14" s="90"/>
      <c r="F14" s="90"/>
      <c r="G14" s="91"/>
      <c r="H14" s="187"/>
      <c r="I14" s="90"/>
      <c r="J14" s="90"/>
    </row>
    <row r="15" spans="1:10" ht="15.75">
      <c r="A15" s="89">
        <f t="shared" ref="A15:A27" si="0">+A16-1</f>
        <v>2002</v>
      </c>
      <c r="B15" s="122">
        <f t="shared" ref="B15:B27" si="1">+B16+12</f>
        <v>180</v>
      </c>
      <c r="C15" s="123">
        <f>+'Input Data'!C14</f>
        <v>6953372</v>
      </c>
      <c r="D15" s="232"/>
      <c r="E15" s="233"/>
      <c r="F15" s="232"/>
      <c r="G15" s="123">
        <f>+'Exercise 6 - Paid LDFs'!S108</f>
        <v>4066336.3900369992</v>
      </c>
      <c r="H15" s="287"/>
      <c r="I15" s="232"/>
      <c r="J15" s="232"/>
    </row>
    <row r="16" spans="1:10" ht="15.75">
      <c r="A16" s="89">
        <f t="shared" si="0"/>
        <v>2003</v>
      </c>
      <c r="B16" s="122">
        <f t="shared" si="1"/>
        <v>168</v>
      </c>
      <c r="C16" s="123">
        <f>+'Input Data'!C15</f>
        <v>6567116</v>
      </c>
      <c r="D16" s="232"/>
      <c r="E16" s="233"/>
      <c r="F16" s="232"/>
      <c r="G16" s="123">
        <f>+'Exercise 6 - Paid LDFs'!S109</f>
        <v>3271028.46</v>
      </c>
      <c r="H16" s="287"/>
      <c r="I16" s="232"/>
      <c r="J16" s="232"/>
    </row>
    <row r="17" spans="1:11" ht="15.75">
      <c r="A17" s="89">
        <f t="shared" si="0"/>
        <v>2004</v>
      </c>
      <c r="B17" s="122">
        <f t="shared" si="1"/>
        <v>156</v>
      </c>
      <c r="C17" s="123">
        <f>+'Input Data'!C16</f>
        <v>6690146</v>
      </c>
      <c r="D17" s="232"/>
      <c r="E17" s="233"/>
      <c r="F17" s="232"/>
      <c r="G17" s="123">
        <f>+'Exercise 6 - Paid LDFs'!S110</f>
        <v>4586913</v>
      </c>
      <c r="H17" s="287"/>
      <c r="I17" s="232"/>
      <c r="J17" s="232"/>
    </row>
    <row r="18" spans="1:11" ht="15.75">
      <c r="A18" s="89">
        <f t="shared" si="0"/>
        <v>2005</v>
      </c>
      <c r="B18" s="122">
        <f t="shared" si="1"/>
        <v>144</v>
      </c>
      <c r="C18" s="123">
        <f>+'Input Data'!C17</f>
        <v>7103262.0000000009</v>
      </c>
      <c r="D18" s="232"/>
      <c r="E18" s="233"/>
      <c r="F18" s="232"/>
      <c r="G18" s="123">
        <f>+'Exercise 6 - Paid LDFs'!S111</f>
        <v>4556737.22</v>
      </c>
      <c r="H18" s="287"/>
      <c r="I18" s="232"/>
      <c r="J18" s="232"/>
    </row>
    <row r="19" spans="1:11" ht="15.75">
      <c r="A19" s="89">
        <f t="shared" si="0"/>
        <v>2006</v>
      </c>
      <c r="B19" s="122">
        <f t="shared" si="1"/>
        <v>132</v>
      </c>
      <c r="C19" s="123">
        <f>+'Input Data'!C18</f>
        <v>7959030</v>
      </c>
      <c r="D19" s="232"/>
      <c r="E19" s="233"/>
      <c r="F19" s="232"/>
      <c r="G19" s="123">
        <f>+'Exercise 6 - Paid LDFs'!S112</f>
        <v>4357830.49</v>
      </c>
      <c r="H19" s="287"/>
      <c r="I19" s="232"/>
      <c r="J19" s="232"/>
    </row>
    <row r="20" spans="1:11" ht="15.75">
      <c r="A20" s="89">
        <f t="shared" si="0"/>
        <v>2007</v>
      </c>
      <c r="B20" s="122">
        <f t="shared" si="1"/>
        <v>120</v>
      </c>
      <c r="C20" s="123">
        <f>+'Input Data'!C19</f>
        <v>9363418</v>
      </c>
      <c r="D20" s="232"/>
      <c r="E20" s="233"/>
      <c r="F20" s="232"/>
      <c r="G20" s="123">
        <f>+'Exercise 6 - Paid LDFs'!S113</f>
        <v>3174352.51</v>
      </c>
      <c r="H20" s="287"/>
      <c r="I20" s="232"/>
      <c r="J20" s="232"/>
    </row>
    <row r="21" spans="1:11" ht="15.75">
      <c r="A21" s="89">
        <f t="shared" si="0"/>
        <v>2008</v>
      </c>
      <c r="B21" s="122">
        <f t="shared" si="1"/>
        <v>108</v>
      </c>
      <c r="C21" s="123">
        <f>+'Input Data'!C20</f>
        <v>10597562</v>
      </c>
      <c r="D21" s="232"/>
      <c r="E21" s="233"/>
      <c r="F21" s="232"/>
      <c r="G21" s="123">
        <f>+'Exercise 6 - Paid LDFs'!S114</f>
        <v>2329891</v>
      </c>
      <c r="H21" s="287"/>
      <c r="I21" s="232"/>
      <c r="J21" s="232"/>
    </row>
    <row r="22" spans="1:11" ht="15.75">
      <c r="A22" s="89">
        <f t="shared" si="0"/>
        <v>2009</v>
      </c>
      <c r="B22" s="122">
        <f t="shared" si="1"/>
        <v>96</v>
      </c>
      <c r="C22" s="123">
        <f>+'Input Data'!C21</f>
        <v>11036360</v>
      </c>
      <c r="D22" s="232"/>
      <c r="E22" s="233"/>
      <c r="F22" s="232"/>
      <c r="G22" s="123">
        <f>+'Exercise 6 - Paid LDFs'!S115</f>
        <v>2463991.9700000002</v>
      </c>
      <c r="H22" s="287"/>
      <c r="I22" s="232"/>
      <c r="J22" s="232"/>
    </row>
    <row r="23" spans="1:11" ht="15.75">
      <c r="A23" s="89">
        <f t="shared" si="0"/>
        <v>2010</v>
      </c>
      <c r="B23" s="122">
        <f t="shared" si="1"/>
        <v>84</v>
      </c>
      <c r="C23" s="123">
        <f>+'Input Data'!C22</f>
        <v>11402928</v>
      </c>
      <c r="D23" s="232"/>
      <c r="E23" s="233"/>
      <c r="F23" s="232"/>
      <c r="G23" s="123">
        <f>+'Exercise 6 - Paid LDFs'!S116</f>
        <v>3156139.46</v>
      </c>
      <c r="H23" s="287"/>
      <c r="I23" s="232"/>
      <c r="J23" s="232"/>
    </row>
    <row r="24" spans="1:11" ht="15.75">
      <c r="A24" s="89">
        <f t="shared" si="0"/>
        <v>2011</v>
      </c>
      <c r="B24" s="122">
        <f t="shared" si="1"/>
        <v>72</v>
      </c>
      <c r="C24" s="123">
        <f>+'Input Data'!C23</f>
        <v>11099580</v>
      </c>
      <c r="D24" s="232"/>
      <c r="E24" s="233"/>
      <c r="F24" s="232"/>
      <c r="G24" s="123">
        <f>+'Exercise 6 - Paid LDFs'!S117</f>
        <v>6907218</v>
      </c>
      <c r="H24" s="287"/>
      <c r="I24" s="232"/>
      <c r="J24" s="232"/>
    </row>
    <row r="25" spans="1:11" ht="15.75">
      <c r="A25" s="89">
        <f t="shared" si="0"/>
        <v>2012</v>
      </c>
      <c r="B25" s="122">
        <f t="shared" si="1"/>
        <v>60</v>
      </c>
      <c r="C25" s="123">
        <f>+'Input Data'!C24</f>
        <v>10683363</v>
      </c>
      <c r="D25" s="232"/>
      <c r="E25" s="233"/>
      <c r="F25" s="232"/>
      <c r="G25" s="123">
        <f>+'Exercise 6 - Paid LDFs'!S118</f>
        <v>4132680</v>
      </c>
      <c r="H25" s="287"/>
      <c r="I25" s="232"/>
      <c r="J25" s="232"/>
    </row>
    <row r="26" spans="1:11" ht="15.75">
      <c r="A26" s="89">
        <f t="shared" si="0"/>
        <v>2013</v>
      </c>
      <c r="B26" s="122">
        <f t="shared" si="1"/>
        <v>48</v>
      </c>
      <c r="C26" s="123">
        <f>+'Input Data'!C25</f>
        <v>10430225</v>
      </c>
      <c r="D26" s="232"/>
      <c r="E26" s="233"/>
      <c r="F26" s="232"/>
      <c r="G26" s="123">
        <f>+'Exercise 6 - Paid LDFs'!S119</f>
        <v>1766812.92</v>
      </c>
      <c r="H26" s="287"/>
      <c r="I26" s="232"/>
      <c r="J26" s="232"/>
    </row>
    <row r="27" spans="1:11" ht="15.75">
      <c r="A27" s="89">
        <f t="shared" si="0"/>
        <v>2014</v>
      </c>
      <c r="B27" s="122">
        <f t="shared" si="1"/>
        <v>36</v>
      </c>
      <c r="C27" s="123">
        <f>+'Input Data'!C26</f>
        <v>10106327</v>
      </c>
      <c r="D27" s="232"/>
      <c r="E27" s="233"/>
      <c r="F27" s="232"/>
      <c r="G27" s="123">
        <f>+'Exercise 6 - Paid LDFs'!S120</f>
        <v>1655619</v>
      </c>
      <c r="H27" s="287"/>
      <c r="I27" s="232"/>
      <c r="J27" s="232"/>
    </row>
    <row r="28" spans="1:11" ht="15.75">
      <c r="A28" s="89">
        <f>+A29-1</f>
        <v>2015</v>
      </c>
      <c r="B28" s="122">
        <f>+B29+12</f>
        <v>24</v>
      </c>
      <c r="C28" s="123">
        <f>+'Input Data'!C27</f>
        <v>9889744</v>
      </c>
      <c r="D28" s="232"/>
      <c r="E28" s="233"/>
      <c r="F28" s="232"/>
      <c r="G28" s="123">
        <f>+'Exercise 6 - Paid LDFs'!S121</f>
        <v>629188</v>
      </c>
      <c r="H28" s="287"/>
      <c r="I28" s="232"/>
      <c r="J28" s="232"/>
    </row>
    <row r="29" spans="1:11" ht="15.75">
      <c r="A29" s="89">
        <f>+EndYear</f>
        <v>2016</v>
      </c>
      <c r="B29" s="122">
        <v>12</v>
      </c>
      <c r="C29" s="123">
        <f>+'Input Data'!C28</f>
        <v>9998035.5</v>
      </c>
      <c r="D29" s="232"/>
      <c r="E29" s="233"/>
      <c r="F29" s="232"/>
      <c r="G29" s="123">
        <f>+'Exercise 6 - Paid LDFs'!S122</f>
        <v>383397</v>
      </c>
      <c r="H29" s="287"/>
      <c r="I29" s="232"/>
      <c r="J29" s="232"/>
      <c r="K29" s="103"/>
    </row>
    <row r="30" spans="1:11">
      <c r="A30" s="89"/>
      <c r="B30" s="89"/>
      <c r="C30" s="89"/>
      <c r="D30" s="89"/>
      <c r="E30" s="95"/>
      <c r="F30" s="107"/>
      <c r="G30" s="95"/>
      <c r="H30" s="288"/>
      <c r="I30" s="107"/>
      <c r="J30" s="107"/>
    </row>
    <row r="31" spans="1:11">
      <c r="A31" s="97" t="s">
        <v>63</v>
      </c>
      <c r="B31" s="97"/>
      <c r="C31" s="98">
        <f>SUM(C15:C29)</f>
        <v>139880468.5</v>
      </c>
      <c r="D31" s="262">
        <f>+SUM(D15:D29)</f>
        <v>0</v>
      </c>
      <c r="E31" s="98"/>
      <c r="F31" s="262">
        <f>+SUM(F15:F29)</f>
        <v>0</v>
      </c>
      <c r="G31" s="98">
        <f>SUM(G15:G29)</f>
        <v>47438135.420037001</v>
      </c>
      <c r="H31" s="262">
        <f>+SUM(H15:H29)</f>
        <v>0</v>
      </c>
      <c r="I31" s="289">
        <f>+SUM(I15:I29)</f>
        <v>0</v>
      </c>
      <c r="J31" s="289">
        <f>+SUM(J15:J29)</f>
        <v>0</v>
      </c>
    </row>
    <row r="33" spans="1:5" ht="15.75">
      <c r="A33" s="100"/>
      <c r="B33" s="100"/>
      <c r="C33" s="100"/>
      <c r="D33" s="100"/>
      <c r="E33" s="303" t="s">
        <v>156</v>
      </c>
    </row>
    <row r="34" spans="1:5" ht="15.75">
      <c r="A34" s="101"/>
      <c r="B34" s="101"/>
      <c r="C34" s="101"/>
      <c r="D34" s="101"/>
    </row>
    <row r="35" spans="1:5">
      <c r="D35" s="297"/>
      <c r="E35" s="297"/>
    </row>
    <row r="108" spans="3:10">
      <c r="C108" s="103">
        <f>+'Input Data'!C14</f>
        <v>6953372</v>
      </c>
      <c r="D108" s="109">
        <f>+'Exercise 10 - Expected LR Meth'!H13</f>
        <v>0</v>
      </c>
      <c r="E108" s="244">
        <f>1-1/'Exercise 6 - Paid LDFs'!T108</f>
        <v>0</v>
      </c>
      <c r="F108" s="103">
        <f>+E108*D108</f>
        <v>0</v>
      </c>
      <c r="G108" s="109">
        <f>+'Exercise 6 - Paid LDFs'!S108</f>
        <v>4066336.3900369992</v>
      </c>
      <c r="H108" s="103">
        <f>+G108+F108</f>
        <v>4066336.3900369992</v>
      </c>
      <c r="I108" s="103">
        <f>+H108-G108</f>
        <v>0</v>
      </c>
      <c r="J108" s="103">
        <f>+H108-'Exercise 11 - Inc BF Meth'!G110</f>
        <v>-164371.90895800013</v>
      </c>
    </row>
    <row r="109" spans="3:10">
      <c r="C109" s="103">
        <f>+'Input Data'!C15</f>
        <v>6567116</v>
      </c>
      <c r="D109" s="109">
        <f>+'Exercise 10 - Expected LR Meth'!H14</f>
        <v>0</v>
      </c>
      <c r="E109" s="244">
        <f>1-1/'Exercise 6 - Paid LDFs'!T109</f>
        <v>0</v>
      </c>
      <c r="F109" s="103">
        <f t="shared" ref="F109:F122" si="2">+E109*D109</f>
        <v>0</v>
      </c>
      <c r="G109" s="109">
        <f>+'Exercise 6 - Paid LDFs'!S109</f>
        <v>3271028.46</v>
      </c>
      <c r="H109" s="103">
        <f t="shared" ref="H109:H121" si="3">+G109+F109</f>
        <v>3271028.46</v>
      </c>
      <c r="I109" s="103">
        <f t="shared" ref="I109:I122" si="4">+H109-G109</f>
        <v>0</v>
      </c>
      <c r="J109" s="103">
        <f>+H109-'Exercise 11 - Inc BF Meth'!G111</f>
        <v>-49522.540000000503</v>
      </c>
    </row>
    <row r="110" spans="3:10">
      <c r="C110" s="103">
        <f>+'Input Data'!C16</f>
        <v>6690146</v>
      </c>
      <c r="D110" s="109">
        <f>+'Exercise 10 - Expected LR Meth'!H15</f>
        <v>0</v>
      </c>
      <c r="E110" s="244">
        <f>1-1/'Exercise 6 - Paid LDFs'!T110</f>
        <v>0</v>
      </c>
      <c r="F110" s="103">
        <f t="shared" si="2"/>
        <v>0</v>
      </c>
      <c r="G110" s="109">
        <f>+'Exercise 6 - Paid LDFs'!S110</f>
        <v>4586913</v>
      </c>
      <c r="H110" s="103">
        <f t="shared" si="3"/>
        <v>4586913</v>
      </c>
      <c r="I110" s="103">
        <f t="shared" si="4"/>
        <v>0</v>
      </c>
      <c r="J110" s="103">
        <f>+H110-'Exercise 11 - Inc BF Meth'!G112</f>
        <v>-35227</v>
      </c>
    </row>
    <row r="111" spans="3:10">
      <c r="C111" s="103">
        <f>+'Input Data'!C17</f>
        <v>7103262.0000000009</v>
      </c>
      <c r="D111" s="109">
        <f>+'Exercise 10 - Expected LR Meth'!H16</f>
        <v>0</v>
      </c>
      <c r="E111" s="244">
        <f>1-1/'Exercise 6 - Paid LDFs'!T111</f>
        <v>0</v>
      </c>
      <c r="F111" s="103">
        <f t="shared" si="2"/>
        <v>0</v>
      </c>
      <c r="G111" s="109">
        <f>+'Exercise 6 - Paid LDFs'!S111</f>
        <v>4556737.22</v>
      </c>
      <c r="H111" s="103">
        <f t="shared" si="3"/>
        <v>4556737.22</v>
      </c>
      <c r="I111" s="103">
        <f t="shared" si="4"/>
        <v>0</v>
      </c>
      <c r="J111" s="103">
        <f>+H111-'Exercise 11 - Inc BF Meth'!G113</f>
        <v>-73106.779999999329</v>
      </c>
    </row>
    <row r="112" spans="3:10">
      <c r="C112" s="103">
        <f>+'Input Data'!C18</f>
        <v>7959030</v>
      </c>
      <c r="D112" s="109">
        <f>+'Exercise 10 - Expected LR Meth'!H17</f>
        <v>0</v>
      </c>
      <c r="E112" s="244">
        <f>1-1/'Exercise 6 - Paid LDFs'!T112</f>
        <v>0</v>
      </c>
      <c r="F112" s="103">
        <f t="shared" si="2"/>
        <v>0</v>
      </c>
      <c r="G112" s="109">
        <f>+'Exercise 6 - Paid LDFs'!S112</f>
        <v>4357830.49</v>
      </c>
      <c r="H112" s="103">
        <f t="shared" si="3"/>
        <v>4357830.49</v>
      </c>
      <c r="I112" s="103">
        <f t="shared" si="4"/>
        <v>0</v>
      </c>
      <c r="J112" s="103">
        <f>+H112-'Exercise 11 - Inc BF Meth'!G114</f>
        <v>-363441.50999999978</v>
      </c>
    </row>
    <row r="113" spans="3:10">
      <c r="C113" s="103">
        <f>+'Input Data'!C19</f>
        <v>9363418</v>
      </c>
      <c r="D113" s="109">
        <f>+'Exercise 10 - Expected LR Meth'!H18</f>
        <v>0</v>
      </c>
      <c r="E113" s="244">
        <f>1-1/'Exercise 6 - Paid LDFs'!T113</f>
        <v>9.0909090909090939E-2</v>
      </c>
      <c r="F113" s="103">
        <f t="shared" si="2"/>
        <v>0</v>
      </c>
      <c r="G113" s="109">
        <f>+'Exercise 6 - Paid LDFs'!S113</f>
        <v>3174352.51</v>
      </c>
      <c r="H113" s="103">
        <f t="shared" si="3"/>
        <v>3174352.51</v>
      </c>
      <c r="I113" s="103">
        <f t="shared" si="4"/>
        <v>0</v>
      </c>
      <c r="J113" s="103">
        <f>+H113-'Exercise 11 - Inc BF Meth'!G115</f>
        <v>-70004.490000000224</v>
      </c>
    </row>
    <row r="114" spans="3:10">
      <c r="C114" s="103">
        <f>+'Input Data'!C20</f>
        <v>10597562</v>
      </c>
      <c r="D114" s="109">
        <f>+'Exercise 10 - Expected LR Meth'!H19</f>
        <v>0</v>
      </c>
      <c r="E114" s="244">
        <f>1-1/'Exercise 6 - Paid LDFs'!T114</f>
        <v>0.11738746690203017</v>
      </c>
      <c r="F114" s="103">
        <f t="shared" si="2"/>
        <v>0</v>
      </c>
      <c r="G114" s="109">
        <f>+'Exercise 6 - Paid LDFs'!S114</f>
        <v>2329891</v>
      </c>
      <c r="H114" s="103">
        <f t="shared" si="3"/>
        <v>2329891</v>
      </c>
      <c r="I114" s="103">
        <f t="shared" si="4"/>
        <v>0</v>
      </c>
      <c r="J114" s="103">
        <f>+H114-'Exercise 11 - Inc BF Meth'!G116</f>
        <v>0</v>
      </c>
    </row>
    <row r="115" spans="3:10">
      <c r="C115" s="103">
        <f>+'Input Data'!C21</f>
        <v>11036360</v>
      </c>
      <c r="D115" s="109">
        <f>+'Exercise 10 - Expected LR Meth'!H20</f>
        <v>0</v>
      </c>
      <c r="E115" s="244">
        <f>1-1/'Exercise 6 - Paid LDFs'!T115</f>
        <v>0.14392576809120294</v>
      </c>
      <c r="F115" s="103">
        <f t="shared" si="2"/>
        <v>0</v>
      </c>
      <c r="G115" s="109">
        <f>+'Exercise 6 - Paid LDFs'!S115</f>
        <v>2463991.9700000002</v>
      </c>
      <c r="H115" s="103">
        <f t="shared" si="3"/>
        <v>2463991.9700000002</v>
      </c>
      <c r="I115" s="103">
        <f t="shared" si="4"/>
        <v>0</v>
      </c>
      <c r="J115" s="103">
        <f>+H115-'Exercise 11 - Inc BF Meth'!G117</f>
        <v>-210753.0299999998</v>
      </c>
    </row>
    <row r="116" spans="3:10">
      <c r="C116" s="103">
        <f>+'Input Data'!C22</f>
        <v>11402928</v>
      </c>
      <c r="D116" s="109">
        <f>+'Exercise 10 - Expected LR Meth'!H21</f>
        <v>0</v>
      </c>
      <c r="E116" s="244">
        <f>1-1/'Exercise 6 - Paid LDFs'!T116</f>
        <v>0.18313527489618608</v>
      </c>
      <c r="F116" s="103">
        <f t="shared" si="2"/>
        <v>0</v>
      </c>
      <c r="G116" s="109">
        <f>+'Exercise 6 - Paid LDFs'!S116</f>
        <v>3156139.46</v>
      </c>
      <c r="H116" s="103">
        <f t="shared" si="3"/>
        <v>3156139.46</v>
      </c>
      <c r="I116" s="103">
        <f t="shared" si="4"/>
        <v>0</v>
      </c>
      <c r="J116" s="103">
        <f>+H116-'Exercise 11 - Inc BF Meth'!G118</f>
        <v>-475723.54000000004</v>
      </c>
    </row>
    <row r="117" spans="3:10">
      <c r="C117" s="103">
        <f>+'Input Data'!C23</f>
        <v>11099580</v>
      </c>
      <c r="D117" s="109">
        <f>+'Exercise 10 - Expected LR Meth'!H22</f>
        <v>0</v>
      </c>
      <c r="E117" s="244">
        <f>1-1/'Exercise 6 - Paid LDFs'!T117</f>
        <v>0.24504184371181714</v>
      </c>
      <c r="F117" s="103">
        <f t="shared" si="2"/>
        <v>0</v>
      </c>
      <c r="G117" s="109">
        <f>+'Exercise 6 - Paid LDFs'!S117</f>
        <v>6907218</v>
      </c>
      <c r="H117" s="103">
        <f t="shared" si="3"/>
        <v>6907218</v>
      </c>
      <c r="I117" s="103">
        <f t="shared" si="4"/>
        <v>0</v>
      </c>
      <c r="J117" s="103">
        <f>+H117-'Exercise 11 - Inc BF Meth'!G119</f>
        <v>-535550</v>
      </c>
    </row>
    <row r="118" spans="3:10">
      <c r="C118" s="103">
        <f>+'Input Data'!C24</f>
        <v>10683363</v>
      </c>
      <c r="D118" s="109">
        <f>+'Exercise 10 - Expected LR Meth'!H23</f>
        <v>0</v>
      </c>
      <c r="E118" s="244">
        <f>1-1/'Exercise 6 - Paid LDFs'!T118</f>
        <v>0.32169078500612491</v>
      </c>
      <c r="F118" s="103">
        <f t="shared" si="2"/>
        <v>0</v>
      </c>
      <c r="G118" s="109">
        <f>+'Exercise 6 - Paid LDFs'!S118</f>
        <v>4132680</v>
      </c>
      <c r="H118" s="103">
        <f t="shared" si="3"/>
        <v>4132680</v>
      </c>
      <c r="I118" s="103">
        <f t="shared" si="4"/>
        <v>0</v>
      </c>
      <c r="J118" s="103">
        <f>+H118-'Exercise 11 - Inc BF Meth'!G120</f>
        <v>-1315614</v>
      </c>
    </row>
    <row r="119" spans="3:10">
      <c r="C119" s="103">
        <f>+'Input Data'!C25</f>
        <v>10430225</v>
      </c>
      <c r="D119" s="109">
        <f>+'Exercise 10 - Expected LR Meth'!H24</f>
        <v>0</v>
      </c>
      <c r="E119" s="244">
        <f>1-1/'Exercise 6 - Paid LDFs'!T119</f>
        <v>0.44263827855885374</v>
      </c>
      <c r="F119" s="103">
        <f t="shared" si="2"/>
        <v>0</v>
      </c>
      <c r="G119" s="109">
        <f>+'Exercise 6 - Paid LDFs'!S119</f>
        <v>1766812.92</v>
      </c>
      <c r="H119" s="103">
        <f t="shared" si="3"/>
        <v>1766812.92</v>
      </c>
      <c r="I119" s="103">
        <f t="shared" si="4"/>
        <v>0</v>
      </c>
      <c r="J119" s="103">
        <f>+H119-'Exercise 11 - Inc BF Meth'!G121</f>
        <v>-1144218.08</v>
      </c>
    </row>
    <row r="120" spans="3:10">
      <c r="C120" s="103">
        <f>+'Input Data'!C26</f>
        <v>10106327</v>
      </c>
      <c r="D120" s="109">
        <f>+'Exercise 10 - Expected LR Meth'!H25</f>
        <v>0</v>
      </c>
      <c r="E120" s="244">
        <f>1-1/'Exercise 6 - Paid LDFs'!T120</f>
        <v>0.58713946559915098</v>
      </c>
      <c r="F120" s="103">
        <f t="shared" si="2"/>
        <v>0</v>
      </c>
      <c r="G120" s="109">
        <f>+'Exercise 6 - Paid LDFs'!S120</f>
        <v>1655619</v>
      </c>
      <c r="H120" s="103">
        <f t="shared" si="3"/>
        <v>1655619</v>
      </c>
      <c r="I120" s="103">
        <f t="shared" si="4"/>
        <v>0</v>
      </c>
      <c r="J120" s="103">
        <f>+H120-'Exercise 11 - Inc BF Meth'!G122</f>
        <v>-1389906</v>
      </c>
    </row>
    <row r="121" spans="3:10">
      <c r="C121" s="103">
        <f>+'Input Data'!C27</f>
        <v>9889744</v>
      </c>
      <c r="D121" s="109">
        <f>+'Exercise 10 - Expected LR Meth'!H26</f>
        <v>0</v>
      </c>
      <c r="E121" s="244">
        <f>1-1/'Exercise 6 - Paid LDFs'!T121</f>
        <v>0.73952016757044226</v>
      </c>
      <c r="F121" s="103">
        <f t="shared" si="2"/>
        <v>0</v>
      </c>
      <c r="G121" s="109">
        <f>+'Exercise 6 - Paid LDFs'!S121</f>
        <v>629188</v>
      </c>
      <c r="H121" s="103">
        <f t="shared" si="3"/>
        <v>629188</v>
      </c>
      <c r="I121" s="103">
        <f t="shared" si="4"/>
        <v>0</v>
      </c>
      <c r="J121" s="103">
        <f>+H121-'Exercise 11 - Inc BF Meth'!G123</f>
        <v>-1768759</v>
      </c>
    </row>
    <row r="122" spans="3:10">
      <c r="C122" s="103">
        <f>+'Input Data'!C28</f>
        <v>9998035.5</v>
      </c>
      <c r="D122" s="109">
        <f>+'Exercise 10 - Expected LR Meth'!H27</f>
        <v>0</v>
      </c>
      <c r="E122" s="244">
        <f>1-1/'Exercise 6 - Paid LDFs'!T122</f>
        <v>0.86877590305815733</v>
      </c>
      <c r="F122" s="103">
        <f t="shared" si="2"/>
        <v>0</v>
      </c>
      <c r="G122" s="109">
        <f>+'Exercise 6 - Paid LDFs'!S122</f>
        <v>383397</v>
      </c>
      <c r="H122" s="103">
        <f>+G122+F122</f>
        <v>383397</v>
      </c>
      <c r="I122" s="103">
        <f t="shared" si="4"/>
        <v>0</v>
      </c>
      <c r="J122" s="103">
        <f>+H122-'Exercise 11 - Inc BF Meth'!G124</f>
        <v>-1981673</v>
      </c>
    </row>
    <row r="123" spans="3:10">
      <c r="E123" s="244"/>
    </row>
    <row r="124" spans="3:10">
      <c r="C124" s="103">
        <f>SUM(C108:C123)</f>
        <v>139880468.5</v>
      </c>
      <c r="D124" s="103">
        <f>SUM(D108:D123)</f>
        <v>0</v>
      </c>
      <c r="E124" s="244"/>
      <c r="F124" s="103">
        <f>SUM(F108:F123)</f>
        <v>0</v>
      </c>
      <c r="G124" s="103">
        <f>SUM(G108:G123)</f>
        <v>47438135.420037001</v>
      </c>
      <c r="H124" s="103">
        <f>SUM(H108:H123)</f>
        <v>47438135.420037001</v>
      </c>
      <c r="I124" s="103">
        <f>SUM(I108:I123)</f>
        <v>0</v>
      </c>
      <c r="J124" s="103">
        <f>SUM(J108:J123)</f>
        <v>-9577870.8789579999</v>
      </c>
    </row>
    <row r="125" spans="3:10">
      <c r="E125" s="244"/>
    </row>
  </sheetData>
  <conditionalFormatting sqref="E15:E29">
    <cfRule type="cellIs" dxfId="21" priority="7" operator="notEqual">
      <formula>$E108</formula>
    </cfRule>
  </conditionalFormatting>
  <conditionalFormatting sqref="F15:F31">
    <cfRule type="cellIs" dxfId="20" priority="6" operator="notEqual">
      <formula>$F108</formula>
    </cfRule>
  </conditionalFormatting>
  <conditionalFormatting sqref="D15:D31">
    <cfRule type="cellIs" dxfId="19" priority="5" operator="notEqual">
      <formula>$D108</formula>
    </cfRule>
  </conditionalFormatting>
  <conditionalFormatting sqref="H15:H31">
    <cfRule type="cellIs" dxfId="18" priority="3" operator="notEqual">
      <formula>$H108</formula>
    </cfRule>
  </conditionalFormatting>
  <conditionalFormatting sqref="I15:I31">
    <cfRule type="cellIs" dxfId="17" priority="2" operator="notEqual">
      <formula>$I108</formula>
    </cfRule>
  </conditionalFormatting>
  <conditionalFormatting sqref="J15:J31">
    <cfRule type="cellIs" dxfId="16" priority="1" operator="notEqual">
      <formula>$J108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K127"/>
  <sheetViews>
    <sheetView showGridLines="0" topLeftCell="A7" workbookViewId="0">
      <selection activeCell="D17" sqref="D17:D31"/>
    </sheetView>
  </sheetViews>
  <sheetFormatPr defaultRowHeight="12.75"/>
  <cols>
    <col min="1" max="2" width="13.42578125" customWidth="1"/>
    <col min="3" max="3" width="18.7109375" customWidth="1"/>
    <col min="4" max="4" width="16.85546875" customWidth="1"/>
    <col min="5" max="5" width="13.42578125" customWidth="1"/>
    <col min="6" max="6" width="14.140625" customWidth="1"/>
    <col min="7" max="7" width="17.7109375" customWidth="1"/>
    <col min="8" max="9" width="17.28515625" customWidth="1"/>
    <col min="10" max="10" width="14.7109375" customWidth="1"/>
    <col min="11" max="14" width="9.7109375" customWidth="1"/>
    <col min="15" max="15" width="14.140625" customWidth="1"/>
  </cols>
  <sheetData>
    <row r="1" spans="1:10" ht="15.75">
      <c r="A1" s="203" t="s">
        <v>0</v>
      </c>
      <c r="B1" s="73"/>
      <c r="C1" s="73"/>
      <c r="D1" s="73"/>
    </row>
    <row r="2" spans="1:10" ht="15.75">
      <c r="A2" s="204" t="str">
        <f>+"Analysis of Loss &amp; DCC Reserves as of "&amp;TEXT(EvalDate,"mm/dd/yyy")</f>
        <v>Analysis of Loss &amp; DCC Reserves as of 12/31/2016</v>
      </c>
      <c r="B2" s="73"/>
      <c r="C2" s="73"/>
      <c r="D2" s="73"/>
    </row>
    <row r="3" spans="1:10" ht="15.75">
      <c r="A3" s="205" t="str">
        <f>+LOB</f>
        <v>Liability</v>
      </c>
      <c r="B3" s="73"/>
      <c r="C3" s="73"/>
      <c r="D3" s="73"/>
    </row>
    <row r="5" spans="1:10" ht="15.75">
      <c r="A5" s="73" t="s">
        <v>86</v>
      </c>
      <c r="B5" s="73"/>
      <c r="C5" s="73"/>
      <c r="D5" s="73"/>
    </row>
    <row r="6" spans="1:10" ht="15.75">
      <c r="A6" s="73"/>
      <c r="B6" s="73"/>
      <c r="C6" s="73"/>
      <c r="D6" s="73"/>
    </row>
    <row r="7" spans="1:10" ht="15.75">
      <c r="A7" s="73"/>
      <c r="B7" s="73"/>
      <c r="C7" s="73"/>
      <c r="D7" s="73"/>
    </row>
    <row r="8" spans="1:10" ht="15.75">
      <c r="A8" s="73"/>
      <c r="B8" s="73"/>
      <c r="C8" s="73"/>
      <c r="D8" s="73"/>
    </row>
    <row r="9" spans="1:10" ht="15.75">
      <c r="A9" s="73"/>
      <c r="B9" s="74"/>
      <c r="C9" s="74"/>
      <c r="D9" s="74"/>
      <c r="E9" s="75"/>
      <c r="F9" s="76"/>
      <c r="G9" s="76"/>
      <c r="H9" s="76"/>
      <c r="I9" s="76"/>
      <c r="J9" s="76"/>
    </row>
    <row r="10" spans="1:10" ht="15.75">
      <c r="A10" s="73"/>
      <c r="B10" s="78" t="s">
        <v>45</v>
      </c>
      <c r="C10" s="79" t="s">
        <v>46</v>
      </c>
      <c r="D10" s="79" t="s">
        <v>47</v>
      </c>
      <c r="E10" s="79" t="s">
        <v>48</v>
      </c>
      <c r="F10" s="79" t="s">
        <v>49</v>
      </c>
      <c r="G10" s="79" t="s">
        <v>50</v>
      </c>
      <c r="H10" s="79" t="s">
        <v>51</v>
      </c>
      <c r="I10" s="79" t="s">
        <v>87</v>
      </c>
      <c r="J10" s="79" t="s">
        <v>104</v>
      </c>
    </row>
    <row r="11" spans="1:10" ht="15.75">
      <c r="A11" s="40"/>
      <c r="B11" s="81"/>
      <c r="C11" s="81"/>
      <c r="D11" s="81"/>
      <c r="E11" s="82"/>
      <c r="F11" s="83"/>
      <c r="G11" s="84"/>
      <c r="H11" s="76"/>
      <c r="I11" s="76"/>
      <c r="J11" s="76"/>
    </row>
    <row r="12" spans="1:10" ht="15.75">
      <c r="A12" s="46"/>
      <c r="B12" s="85"/>
      <c r="C12" s="85"/>
      <c r="D12" s="85"/>
      <c r="E12" s="86"/>
      <c r="F12" s="83"/>
      <c r="G12" s="83"/>
      <c r="H12" s="83"/>
      <c r="I12" s="83"/>
      <c r="J12" s="83"/>
    </row>
    <row r="13" spans="1:10" ht="15.75">
      <c r="A13" s="46"/>
      <c r="B13" s="85"/>
      <c r="C13" s="85"/>
      <c r="D13" s="85"/>
      <c r="E13" s="86"/>
      <c r="F13" s="83"/>
      <c r="G13" s="83" t="s">
        <v>130</v>
      </c>
      <c r="H13" s="83" t="s">
        <v>88</v>
      </c>
      <c r="I13" s="83" t="s">
        <v>54</v>
      </c>
      <c r="J13" s="83" t="s">
        <v>54</v>
      </c>
    </row>
    <row r="14" spans="1:10" ht="15.75">
      <c r="A14" s="46" t="s">
        <v>3</v>
      </c>
      <c r="B14" s="85"/>
      <c r="C14" s="86" t="s">
        <v>143</v>
      </c>
      <c r="D14" s="83" t="s">
        <v>81</v>
      </c>
      <c r="E14" s="86" t="s">
        <v>129</v>
      </c>
      <c r="F14" s="83" t="s">
        <v>54</v>
      </c>
      <c r="G14" s="86" t="s">
        <v>52</v>
      </c>
      <c r="H14" s="83" t="s">
        <v>60</v>
      </c>
      <c r="I14" s="83" t="s">
        <v>56</v>
      </c>
      <c r="J14" s="83" t="s">
        <v>89</v>
      </c>
    </row>
    <row r="15" spans="1:10" ht="15.75">
      <c r="A15" s="87" t="s">
        <v>5</v>
      </c>
      <c r="B15" s="88" t="s">
        <v>57</v>
      </c>
      <c r="C15" s="88" t="s">
        <v>58</v>
      </c>
      <c r="D15" s="87" t="s">
        <v>73</v>
      </c>
      <c r="E15" s="87" t="s">
        <v>90</v>
      </c>
      <c r="F15" s="86" t="s">
        <v>129</v>
      </c>
      <c r="G15" s="87" t="s">
        <v>53</v>
      </c>
      <c r="H15" s="87" t="s">
        <v>73</v>
      </c>
      <c r="I15" s="83" t="s">
        <v>91</v>
      </c>
      <c r="J15" s="83" t="s">
        <v>91</v>
      </c>
    </row>
    <row r="16" spans="1:10">
      <c r="A16" s="89"/>
      <c r="B16" s="89"/>
      <c r="C16" s="89"/>
      <c r="D16" s="89"/>
      <c r="E16" s="90"/>
      <c r="F16" s="90"/>
      <c r="G16" s="91"/>
      <c r="H16" s="187"/>
      <c r="I16" s="90"/>
      <c r="J16" s="90"/>
    </row>
    <row r="17" spans="1:11" ht="15.75">
      <c r="A17" s="89">
        <f t="shared" ref="A17:A29" si="0">+A18-1</f>
        <v>2002</v>
      </c>
      <c r="B17" s="122">
        <f t="shared" ref="B17:B29" si="1">+B18+12</f>
        <v>180</v>
      </c>
      <c r="C17" s="123">
        <f>+'Input Data'!C14</f>
        <v>6953372</v>
      </c>
      <c r="D17" s="232">
        <f>+'Exercise 10 - Expected LR M (2)'!H19</f>
        <v>4616817.2575698039</v>
      </c>
      <c r="E17" s="233">
        <f>+E110</f>
        <v>0</v>
      </c>
      <c r="F17" s="232">
        <f>+F110</f>
        <v>0</v>
      </c>
      <c r="G17" s="123">
        <f>+'Exercise 6 - Paid LDFs'!S108</f>
        <v>4066336.3900369992</v>
      </c>
      <c r="H17" s="287">
        <f>+G17+F17</f>
        <v>4066336.3900369992</v>
      </c>
      <c r="I17" s="232">
        <f>+H17-G17</f>
        <v>0</v>
      </c>
      <c r="J17" s="232">
        <f>+H17-'Exercise 11 - Inc BF Meth'!G17</f>
        <v>-164371.90895800013</v>
      </c>
    </row>
    <row r="18" spans="1:11" ht="15.75">
      <c r="A18" s="89">
        <f t="shared" si="0"/>
        <v>2003</v>
      </c>
      <c r="B18" s="122">
        <f t="shared" si="1"/>
        <v>168</v>
      </c>
      <c r="C18" s="123">
        <f>+'Input Data'!C15</f>
        <v>6567116</v>
      </c>
      <c r="D18" s="232">
        <f>+'Exercise 10 - Expected LR M (2)'!H20</f>
        <v>4620047.9212150741</v>
      </c>
      <c r="E18" s="233">
        <f t="shared" ref="D18:F31" si="2">+E111</f>
        <v>0</v>
      </c>
      <c r="F18" s="232">
        <f t="shared" si="2"/>
        <v>0</v>
      </c>
      <c r="G18" s="123">
        <f>+'Exercise 6 - Paid LDFs'!S109</f>
        <v>3271028.46</v>
      </c>
      <c r="H18" s="287">
        <f t="shared" ref="H18:H30" si="3">+G18+F18</f>
        <v>3271028.46</v>
      </c>
      <c r="I18" s="232">
        <f t="shared" ref="I18:I30" si="4">+H18-G18</f>
        <v>0</v>
      </c>
      <c r="J18" s="232">
        <f>+H18-'Exercise 11 - Inc BF Meth'!G18</f>
        <v>-49522.540000000503</v>
      </c>
    </row>
    <row r="19" spans="1:11" ht="15.75">
      <c r="A19" s="89">
        <f t="shared" si="0"/>
        <v>2004</v>
      </c>
      <c r="B19" s="122">
        <f t="shared" si="1"/>
        <v>156</v>
      </c>
      <c r="C19" s="123">
        <f>+'Input Data'!C16</f>
        <v>6690146</v>
      </c>
      <c r="D19" s="232">
        <f>+'Exercise 10 - Expected LR M (2)'!H21</f>
        <v>4608334.5405657496</v>
      </c>
      <c r="E19" s="233">
        <f t="shared" si="2"/>
        <v>0</v>
      </c>
      <c r="F19" s="232">
        <f t="shared" si="2"/>
        <v>0</v>
      </c>
      <c r="G19" s="123">
        <f>+'Exercise 6 - Paid LDFs'!S110</f>
        <v>4586913</v>
      </c>
      <c r="H19" s="287">
        <f t="shared" si="3"/>
        <v>4586913</v>
      </c>
      <c r="I19" s="232">
        <f t="shared" si="4"/>
        <v>0</v>
      </c>
      <c r="J19" s="232">
        <f>+H19-'Exercise 11 - Inc BF Meth'!G19</f>
        <v>-35227</v>
      </c>
    </row>
    <row r="20" spans="1:11" ht="15.75">
      <c r="A20" s="89">
        <f t="shared" si="0"/>
        <v>2005</v>
      </c>
      <c r="B20" s="122">
        <f t="shared" si="1"/>
        <v>144</v>
      </c>
      <c r="C20" s="123">
        <f>+'Input Data'!C17</f>
        <v>7103262.0000000009</v>
      </c>
      <c r="D20" s="232">
        <f>+'Exercise 10 - Expected LR M (2)'!H22</f>
        <v>3516700.7237851033</v>
      </c>
      <c r="E20" s="233">
        <f t="shared" si="2"/>
        <v>0</v>
      </c>
      <c r="F20" s="232">
        <f t="shared" si="2"/>
        <v>0</v>
      </c>
      <c r="G20" s="123">
        <f>+'Exercise 6 - Paid LDFs'!S111</f>
        <v>4556737.22</v>
      </c>
      <c r="H20" s="287">
        <f t="shared" si="3"/>
        <v>4556737.22</v>
      </c>
      <c r="I20" s="232">
        <f t="shared" si="4"/>
        <v>0</v>
      </c>
      <c r="J20" s="232">
        <f>+H20-'Exercise 11 - Inc BF Meth'!G20</f>
        <v>-73106.779999999329</v>
      </c>
    </row>
    <row r="21" spans="1:11" ht="15.75">
      <c r="A21" s="89">
        <f t="shared" si="0"/>
        <v>2006</v>
      </c>
      <c r="B21" s="122">
        <f t="shared" si="1"/>
        <v>132</v>
      </c>
      <c r="C21" s="123">
        <f>+'Input Data'!C18</f>
        <v>7959030</v>
      </c>
      <c r="D21" s="232">
        <f>+'Exercise 10 - Expected LR M (2)'!H23</f>
        <v>2687252.5694280709</v>
      </c>
      <c r="E21" s="233">
        <f t="shared" si="2"/>
        <v>0</v>
      </c>
      <c r="F21" s="232">
        <f t="shared" si="2"/>
        <v>0</v>
      </c>
      <c r="G21" s="123">
        <f>+'Exercise 6 - Paid LDFs'!S112</f>
        <v>4357830.49</v>
      </c>
      <c r="H21" s="287">
        <f t="shared" si="3"/>
        <v>4357830.49</v>
      </c>
      <c r="I21" s="232">
        <f t="shared" si="4"/>
        <v>0</v>
      </c>
      <c r="J21" s="232">
        <f>+H21-'Exercise 11 - Inc BF Meth'!G21</f>
        <v>-363441.50999999978</v>
      </c>
    </row>
    <row r="22" spans="1:11" ht="15.75">
      <c r="A22" s="89">
        <f t="shared" si="0"/>
        <v>2007</v>
      </c>
      <c r="B22" s="122">
        <f t="shared" si="1"/>
        <v>120</v>
      </c>
      <c r="C22" s="123">
        <f>+'Input Data'!C19</f>
        <v>9363418</v>
      </c>
      <c r="D22" s="232">
        <f>+'Exercise 10 - Expected LR M (2)'!H24</f>
        <v>3024522.7597498964</v>
      </c>
      <c r="E22" s="233">
        <f t="shared" si="2"/>
        <v>9.0909090909090939E-2</v>
      </c>
      <c r="F22" s="232">
        <f t="shared" si="2"/>
        <v>0</v>
      </c>
      <c r="G22" s="123">
        <f>+'Exercise 6 - Paid LDFs'!S113</f>
        <v>3174352.51</v>
      </c>
      <c r="H22" s="287">
        <f t="shared" si="3"/>
        <v>3174352.51</v>
      </c>
      <c r="I22" s="232">
        <f t="shared" si="4"/>
        <v>0</v>
      </c>
      <c r="J22" s="232">
        <f>+H22-'Exercise 11 - Inc BF Meth'!G22</f>
        <v>-70004.490000000224</v>
      </c>
    </row>
    <row r="23" spans="1:11" ht="15.75">
      <c r="A23" s="89">
        <f t="shared" si="0"/>
        <v>2008</v>
      </c>
      <c r="B23" s="122">
        <f t="shared" si="1"/>
        <v>108</v>
      </c>
      <c r="C23" s="123">
        <f>+'Input Data'!C20</f>
        <v>10597562</v>
      </c>
      <c r="D23" s="232">
        <f>+'Exercise 10 - Expected LR M (2)'!H25</f>
        <v>4072055.8118653363</v>
      </c>
      <c r="E23" s="233">
        <f t="shared" si="2"/>
        <v>0.11738746690203017</v>
      </c>
      <c r="F23" s="232">
        <f t="shared" si="2"/>
        <v>0</v>
      </c>
      <c r="G23" s="123">
        <f>+'Exercise 6 - Paid LDFs'!S114</f>
        <v>2329891</v>
      </c>
      <c r="H23" s="287">
        <f t="shared" si="3"/>
        <v>2329891</v>
      </c>
      <c r="I23" s="232">
        <f t="shared" si="4"/>
        <v>0</v>
      </c>
      <c r="J23" s="232">
        <f>+H23-'Exercise 11 - Inc BF Meth'!G23</f>
        <v>0</v>
      </c>
    </row>
    <row r="24" spans="1:11" ht="15.75">
      <c r="A24" s="89">
        <f t="shared" si="0"/>
        <v>2009</v>
      </c>
      <c r="B24" s="122">
        <f t="shared" si="1"/>
        <v>96</v>
      </c>
      <c r="C24" s="123">
        <f>+'Input Data'!C21</f>
        <v>11036360</v>
      </c>
      <c r="D24" s="232">
        <f>+'Exercise 10 - Expected LR M (2)'!H26</f>
        <v>9031595.2093596756</v>
      </c>
      <c r="E24" s="233">
        <f t="shared" si="2"/>
        <v>0.14392576809120294</v>
      </c>
      <c r="F24" s="232">
        <f t="shared" si="2"/>
        <v>0</v>
      </c>
      <c r="G24" s="123">
        <f>+'Exercise 6 - Paid LDFs'!S115</f>
        <v>2463991.9700000002</v>
      </c>
      <c r="H24" s="287">
        <f t="shared" si="3"/>
        <v>2463991.9700000002</v>
      </c>
      <c r="I24" s="232">
        <f t="shared" si="4"/>
        <v>0</v>
      </c>
      <c r="J24" s="232">
        <f>+H24-'Exercise 11 - Inc BF Meth'!G24</f>
        <v>-210753.0299999998</v>
      </c>
    </row>
    <row r="25" spans="1:11" ht="15.75">
      <c r="A25" s="89">
        <f t="shared" si="0"/>
        <v>2010</v>
      </c>
      <c r="B25" s="122">
        <f t="shared" si="1"/>
        <v>84</v>
      </c>
      <c r="C25" s="123">
        <f>+'Input Data'!C22</f>
        <v>11402928</v>
      </c>
      <c r="D25" s="232">
        <f>+'Exercise 10 - Expected LR M (2)'!H27</f>
        <v>6526652.4366239682</v>
      </c>
      <c r="E25" s="233">
        <f t="shared" si="2"/>
        <v>0.18313527489618608</v>
      </c>
      <c r="F25" s="232">
        <f t="shared" si="2"/>
        <v>0</v>
      </c>
      <c r="G25" s="123">
        <f>+'Exercise 6 - Paid LDFs'!S116</f>
        <v>3156139.46</v>
      </c>
      <c r="H25" s="287">
        <f t="shared" si="3"/>
        <v>3156139.46</v>
      </c>
      <c r="I25" s="232">
        <f t="shared" si="4"/>
        <v>0</v>
      </c>
      <c r="J25" s="232">
        <f>+H25-'Exercise 11 - Inc BF Meth'!G25</f>
        <v>-475723.54000000004</v>
      </c>
    </row>
    <row r="26" spans="1:11" ht="15.75">
      <c r="A26" s="89">
        <f t="shared" si="0"/>
        <v>2011</v>
      </c>
      <c r="B26" s="122">
        <f t="shared" si="1"/>
        <v>72</v>
      </c>
      <c r="C26" s="123">
        <f>+'Input Data'!C23</f>
        <v>11099580</v>
      </c>
      <c r="D26" s="232">
        <f>+'Exercise 10 - Expected LR M (2)'!H28</f>
        <v>3665436.4797067759</v>
      </c>
      <c r="E26" s="233">
        <f t="shared" si="2"/>
        <v>0.24504184371181714</v>
      </c>
      <c r="F26" s="232">
        <f t="shared" si="2"/>
        <v>0</v>
      </c>
      <c r="G26" s="123">
        <f>+'Exercise 6 - Paid LDFs'!S117</f>
        <v>6907218</v>
      </c>
      <c r="H26" s="287">
        <f t="shared" si="3"/>
        <v>6907218</v>
      </c>
      <c r="I26" s="232">
        <f t="shared" si="4"/>
        <v>0</v>
      </c>
      <c r="J26" s="232">
        <f>+H26-'Exercise 11 - Inc BF Meth'!G26</f>
        <v>-535550</v>
      </c>
    </row>
    <row r="27" spans="1:11" ht="15.75">
      <c r="A27" s="89">
        <f t="shared" si="0"/>
        <v>2012</v>
      </c>
      <c r="B27" s="122">
        <f t="shared" si="1"/>
        <v>60</v>
      </c>
      <c r="C27" s="123">
        <f>+'Input Data'!C24</f>
        <v>10683363</v>
      </c>
      <c r="D27" s="232">
        <f>+'Exercise 10 - Expected LR M (2)'!H29</f>
        <v>4428625.7323420132</v>
      </c>
      <c r="E27" s="233">
        <f t="shared" si="2"/>
        <v>0.32169078500612491</v>
      </c>
      <c r="F27" s="232">
        <f t="shared" si="2"/>
        <v>0</v>
      </c>
      <c r="G27" s="123">
        <f>+'Exercise 6 - Paid LDFs'!S118</f>
        <v>4132680</v>
      </c>
      <c r="H27" s="287">
        <f t="shared" si="3"/>
        <v>4132680</v>
      </c>
      <c r="I27" s="232">
        <f t="shared" si="4"/>
        <v>0</v>
      </c>
      <c r="J27" s="232">
        <f>+H27-'Exercise 11 - Inc BF Meth'!G27</f>
        <v>-1315614</v>
      </c>
    </row>
    <row r="28" spans="1:11" ht="15.75">
      <c r="A28" s="89">
        <f t="shared" si="0"/>
        <v>2013</v>
      </c>
      <c r="B28" s="122">
        <f t="shared" si="1"/>
        <v>48</v>
      </c>
      <c r="C28" s="123">
        <f>+'Input Data'!C25</f>
        <v>10430225</v>
      </c>
      <c r="D28" s="232">
        <f>+'Exercise 10 - Expected LR M (2)'!H30</f>
        <v>4132685.3571474832</v>
      </c>
      <c r="E28" s="233">
        <f t="shared" si="2"/>
        <v>0.44263827855885374</v>
      </c>
      <c r="F28" s="232">
        <f t="shared" si="2"/>
        <v>0</v>
      </c>
      <c r="G28" s="123">
        <f>+'Exercise 6 - Paid LDFs'!S119</f>
        <v>1766812.92</v>
      </c>
      <c r="H28" s="287">
        <f t="shared" si="3"/>
        <v>1766812.92</v>
      </c>
      <c r="I28" s="232">
        <f t="shared" si="4"/>
        <v>0</v>
      </c>
      <c r="J28" s="232">
        <f>+H28-'Exercise 11 - Inc BF Meth'!G28</f>
        <v>-1144218.08</v>
      </c>
    </row>
    <row r="29" spans="1:11" ht="15.75">
      <c r="A29" s="89">
        <f t="shared" si="0"/>
        <v>2014</v>
      </c>
      <c r="B29" s="122">
        <f t="shared" si="1"/>
        <v>36</v>
      </c>
      <c r="C29" s="123">
        <f>+'Input Data'!C26</f>
        <v>10106327</v>
      </c>
      <c r="D29" s="232">
        <f>+'Exercise 10 - Expected LR M (2)'!H31</f>
        <v>6146192.153969856</v>
      </c>
      <c r="E29" s="233">
        <f t="shared" si="2"/>
        <v>0.58713946559915098</v>
      </c>
      <c r="F29" s="232">
        <f t="shared" si="2"/>
        <v>0</v>
      </c>
      <c r="G29" s="123">
        <f>+'Exercise 6 - Paid LDFs'!S120</f>
        <v>1655619</v>
      </c>
      <c r="H29" s="287">
        <f t="shared" si="3"/>
        <v>1655619</v>
      </c>
      <c r="I29" s="232">
        <f t="shared" si="4"/>
        <v>0</v>
      </c>
      <c r="J29" s="232">
        <f>+H29-'Exercise 11 - Inc BF Meth'!G29</f>
        <v>-1389906</v>
      </c>
    </row>
    <row r="30" spans="1:11" ht="15.75">
      <c r="A30" s="89">
        <f>+A31-1</f>
        <v>2015</v>
      </c>
      <c r="B30" s="122">
        <f>+B31+12</f>
        <v>24</v>
      </c>
      <c r="C30" s="123">
        <f>+'Input Data'!C27</f>
        <v>9889744</v>
      </c>
      <c r="D30" s="232">
        <f>+'Exercise 10 - Expected LR M (2)'!H32</f>
        <v>0</v>
      </c>
      <c r="E30" s="233">
        <f t="shared" si="2"/>
        <v>0.73952016757044226</v>
      </c>
      <c r="F30" s="232">
        <f t="shared" si="2"/>
        <v>0</v>
      </c>
      <c r="G30" s="123">
        <f>+'Exercise 6 - Paid LDFs'!S121</f>
        <v>629188</v>
      </c>
      <c r="H30" s="287">
        <f t="shared" si="3"/>
        <v>629188</v>
      </c>
      <c r="I30" s="232">
        <f t="shared" si="4"/>
        <v>0</v>
      </c>
      <c r="J30" s="232">
        <f>+H30-'Exercise 11 - Inc BF Meth'!G30</f>
        <v>-1768759</v>
      </c>
    </row>
    <row r="31" spans="1:11" ht="15.75">
      <c r="A31" s="89">
        <f>+EndYear</f>
        <v>2016</v>
      </c>
      <c r="B31" s="122">
        <v>12</v>
      </c>
      <c r="C31" s="123">
        <f>+'Input Data'!C28</f>
        <v>9998035.5</v>
      </c>
      <c r="D31" s="232">
        <f>+'Exercise 10 - Expected LR M (2)'!H33</f>
        <v>68521231.027844816</v>
      </c>
      <c r="E31" s="233">
        <f t="shared" si="2"/>
        <v>0.86877590305815733</v>
      </c>
      <c r="F31" s="232">
        <f t="shared" si="2"/>
        <v>0</v>
      </c>
      <c r="G31" s="123">
        <f>+'Exercise 6 - Paid LDFs'!S122</f>
        <v>383397</v>
      </c>
      <c r="H31" s="287">
        <f>+G31+F31</f>
        <v>383397</v>
      </c>
      <c r="I31" s="232">
        <f>+H31-G31</f>
        <v>0</v>
      </c>
      <c r="J31" s="232">
        <f>+H31-'Exercise 11 - Inc BF Meth'!G31</f>
        <v>-1981673</v>
      </c>
      <c r="K31" s="103"/>
    </row>
    <row r="32" spans="1:11">
      <c r="A32" s="89"/>
      <c r="B32" s="89"/>
      <c r="C32" s="89"/>
      <c r="D32" s="89"/>
      <c r="E32" s="95"/>
      <c r="F32" s="107"/>
      <c r="G32" s="95"/>
      <c r="H32" s="288"/>
      <c r="I32" s="107"/>
      <c r="J32" s="107"/>
    </row>
    <row r="33" spans="1:10">
      <c r="A33" s="97" t="s">
        <v>63</v>
      </c>
      <c r="B33" s="97"/>
      <c r="C33" s="98">
        <f>SUM(C17:C31)</f>
        <v>139880468.5</v>
      </c>
      <c r="D33" s="262">
        <f>+SUM(D17:D31)</f>
        <v>129598149.98117363</v>
      </c>
      <c r="E33" s="98"/>
      <c r="F33" s="262">
        <f>+SUM(F17:F31)</f>
        <v>0</v>
      </c>
      <c r="G33" s="98">
        <f>SUM(G17:G31)</f>
        <v>47438135.420037001</v>
      </c>
      <c r="H33" s="262">
        <f>+SUM(H17:H31)</f>
        <v>47438135.420037001</v>
      </c>
      <c r="I33" s="289">
        <f>+SUM(I17:I31)</f>
        <v>0</v>
      </c>
      <c r="J33" s="289">
        <f>+SUM(J17:J31)</f>
        <v>-9577870.8789579999</v>
      </c>
    </row>
    <row r="35" spans="1:10" ht="15.75">
      <c r="A35" s="100"/>
      <c r="B35" s="100"/>
      <c r="C35" s="100"/>
      <c r="D35" s="100"/>
      <c r="E35" s="303" t="s">
        <v>156</v>
      </c>
    </row>
    <row r="36" spans="1:10" ht="15.75">
      <c r="A36" s="101"/>
      <c r="B36" s="101"/>
      <c r="C36" s="101"/>
      <c r="D36" s="101"/>
    </row>
    <row r="37" spans="1:10">
      <c r="D37" s="297"/>
      <c r="E37" s="297"/>
    </row>
    <row r="110" spans="3:10">
      <c r="C110" s="103">
        <f>+'Input Data'!C14</f>
        <v>6953372</v>
      </c>
      <c r="D110" s="109">
        <f>+'Exercise 10 - Expected LR Meth'!H13</f>
        <v>0</v>
      </c>
      <c r="E110" s="244">
        <f>1-1/'Exercise 6 - Paid LDFs'!T108</f>
        <v>0</v>
      </c>
      <c r="F110" s="103">
        <f>+E110*D110</f>
        <v>0</v>
      </c>
      <c r="G110" s="109">
        <f>+'Exercise 6 - Paid LDFs'!S108</f>
        <v>4066336.3900369992</v>
      </c>
      <c r="H110" s="103">
        <f>+G110+F110</f>
        <v>4066336.3900369992</v>
      </c>
      <c r="I110" s="103">
        <f>+H110-G110</f>
        <v>0</v>
      </c>
      <c r="J110" s="103">
        <f>+H110-'Exercise 11 - Inc BF Meth'!G110</f>
        <v>-164371.90895800013</v>
      </c>
    </row>
    <row r="111" spans="3:10">
      <c r="C111" s="103">
        <f>+'Input Data'!C15</f>
        <v>6567116</v>
      </c>
      <c r="D111" s="109">
        <f>+'Exercise 10 - Expected LR Meth'!H14</f>
        <v>0</v>
      </c>
      <c r="E111" s="244">
        <f>1-1/'Exercise 6 - Paid LDFs'!T109</f>
        <v>0</v>
      </c>
      <c r="F111" s="103">
        <f t="shared" ref="F111:F124" si="5">+E111*D111</f>
        <v>0</v>
      </c>
      <c r="G111" s="109">
        <f>+'Exercise 6 - Paid LDFs'!S109</f>
        <v>3271028.46</v>
      </c>
      <c r="H111" s="103">
        <f t="shared" ref="H111:H123" si="6">+G111+F111</f>
        <v>3271028.46</v>
      </c>
      <c r="I111" s="103">
        <f t="shared" ref="I111:I124" si="7">+H111-G111</f>
        <v>0</v>
      </c>
      <c r="J111" s="103">
        <f>+H111-'Exercise 11 - Inc BF Meth'!G111</f>
        <v>-49522.540000000503</v>
      </c>
    </row>
    <row r="112" spans="3:10">
      <c r="C112" s="103">
        <f>+'Input Data'!C16</f>
        <v>6690146</v>
      </c>
      <c r="D112" s="109">
        <f>+'Exercise 10 - Expected LR Meth'!H15</f>
        <v>0</v>
      </c>
      <c r="E112" s="244">
        <f>1-1/'Exercise 6 - Paid LDFs'!T110</f>
        <v>0</v>
      </c>
      <c r="F112" s="103">
        <f t="shared" si="5"/>
        <v>0</v>
      </c>
      <c r="G112" s="109">
        <f>+'Exercise 6 - Paid LDFs'!S110</f>
        <v>4586913</v>
      </c>
      <c r="H112" s="103">
        <f t="shared" si="6"/>
        <v>4586913</v>
      </c>
      <c r="I112" s="103">
        <f t="shared" si="7"/>
        <v>0</v>
      </c>
      <c r="J112" s="103">
        <f>+H112-'Exercise 11 - Inc BF Meth'!G112</f>
        <v>-35227</v>
      </c>
    </row>
    <row r="113" spans="3:10">
      <c r="C113" s="103">
        <f>+'Input Data'!C17</f>
        <v>7103262.0000000009</v>
      </c>
      <c r="D113" s="109">
        <f>+'Exercise 10 - Expected LR Meth'!H16</f>
        <v>0</v>
      </c>
      <c r="E113" s="244">
        <f>1-1/'Exercise 6 - Paid LDFs'!T111</f>
        <v>0</v>
      </c>
      <c r="F113" s="103">
        <f t="shared" si="5"/>
        <v>0</v>
      </c>
      <c r="G113" s="109">
        <f>+'Exercise 6 - Paid LDFs'!S111</f>
        <v>4556737.22</v>
      </c>
      <c r="H113" s="103">
        <f t="shared" si="6"/>
        <v>4556737.22</v>
      </c>
      <c r="I113" s="103">
        <f t="shared" si="7"/>
        <v>0</v>
      </c>
      <c r="J113" s="103">
        <f>+H113-'Exercise 11 - Inc BF Meth'!G113</f>
        <v>-73106.779999999329</v>
      </c>
    </row>
    <row r="114" spans="3:10">
      <c r="C114" s="103">
        <f>+'Input Data'!C18</f>
        <v>7959030</v>
      </c>
      <c r="D114" s="109">
        <f>+'Exercise 10 - Expected LR Meth'!H17</f>
        <v>0</v>
      </c>
      <c r="E114" s="244">
        <f>1-1/'Exercise 6 - Paid LDFs'!T112</f>
        <v>0</v>
      </c>
      <c r="F114" s="103">
        <f t="shared" si="5"/>
        <v>0</v>
      </c>
      <c r="G114" s="109">
        <f>+'Exercise 6 - Paid LDFs'!S112</f>
        <v>4357830.49</v>
      </c>
      <c r="H114" s="103">
        <f t="shared" si="6"/>
        <v>4357830.49</v>
      </c>
      <c r="I114" s="103">
        <f t="shared" si="7"/>
        <v>0</v>
      </c>
      <c r="J114" s="103">
        <f>+H114-'Exercise 11 - Inc BF Meth'!G114</f>
        <v>-363441.50999999978</v>
      </c>
    </row>
    <row r="115" spans="3:10">
      <c r="C115" s="103">
        <f>+'Input Data'!C19</f>
        <v>9363418</v>
      </c>
      <c r="D115" s="109">
        <f>+'Exercise 10 - Expected LR Meth'!H18</f>
        <v>0</v>
      </c>
      <c r="E115" s="244">
        <f>1-1/'Exercise 6 - Paid LDFs'!T113</f>
        <v>9.0909090909090939E-2</v>
      </c>
      <c r="F115" s="103">
        <f t="shared" si="5"/>
        <v>0</v>
      </c>
      <c r="G115" s="109">
        <f>+'Exercise 6 - Paid LDFs'!S113</f>
        <v>3174352.51</v>
      </c>
      <c r="H115" s="103">
        <f t="shared" si="6"/>
        <v>3174352.51</v>
      </c>
      <c r="I115" s="103">
        <f t="shared" si="7"/>
        <v>0</v>
      </c>
      <c r="J115" s="103">
        <f>+H115-'Exercise 11 - Inc BF Meth'!G115</f>
        <v>-70004.490000000224</v>
      </c>
    </row>
    <row r="116" spans="3:10">
      <c r="C116" s="103">
        <f>+'Input Data'!C20</f>
        <v>10597562</v>
      </c>
      <c r="D116" s="109">
        <f>+'Exercise 10 - Expected LR Meth'!H19</f>
        <v>0</v>
      </c>
      <c r="E116" s="244">
        <f>1-1/'Exercise 6 - Paid LDFs'!T114</f>
        <v>0.11738746690203017</v>
      </c>
      <c r="F116" s="103">
        <f t="shared" si="5"/>
        <v>0</v>
      </c>
      <c r="G116" s="109">
        <f>+'Exercise 6 - Paid LDFs'!S114</f>
        <v>2329891</v>
      </c>
      <c r="H116" s="103">
        <f t="shared" si="6"/>
        <v>2329891</v>
      </c>
      <c r="I116" s="103">
        <f t="shared" si="7"/>
        <v>0</v>
      </c>
      <c r="J116" s="103">
        <f>+H116-'Exercise 11 - Inc BF Meth'!G116</f>
        <v>0</v>
      </c>
    </row>
    <row r="117" spans="3:10">
      <c r="C117" s="103">
        <f>+'Input Data'!C21</f>
        <v>11036360</v>
      </c>
      <c r="D117" s="109">
        <f>+'Exercise 10 - Expected LR Meth'!H20</f>
        <v>0</v>
      </c>
      <c r="E117" s="244">
        <f>1-1/'Exercise 6 - Paid LDFs'!T115</f>
        <v>0.14392576809120294</v>
      </c>
      <c r="F117" s="103">
        <f t="shared" si="5"/>
        <v>0</v>
      </c>
      <c r="G117" s="109">
        <f>+'Exercise 6 - Paid LDFs'!S115</f>
        <v>2463991.9700000002</v>
      </c>
      <c r="H117" s="103">
        <f t="shared" si="6"/>
        <v>2463991.9700000002</v>
      </c>
      <c r="I117" s="103">
        <f t="shared" si="7"/>
        <v>0</v>
      </c>
      <c r="J117" s="103">
        <f>+H117-'Exercise 11 - Inc BF Meth'!G117</f>
        <v>-210753.0299999998</v>
      </c>
    </row>
    <row r="118" spans="3:10">
      <c r="C118" s="103">
        <f>+'Input Data'!C22</f>
        <v>11402928</v>
      </c>
      <c r="D118" s="109">
        <f>+'Exercise 10 - Expected LR Meth'!H21</f>
        <v>0</v>
      </c>
      <c r="E118" s="244">
        <f>1-1/'Exercise 6 - Paid LDFs'!T116</f>
        <v>0.18313527489618608</v>
      </c>
      <c r="F118" s="103">
        <f t="shared" si="5"/>
        <v>0</v>
      </c>
      <c r="G118" s="109">
        <f>+'Exercise 6 - Paid LDFs'!S116</f>
        <v>3156139.46</v>
      </c>
      <c r="H118" s="103">
        <f t="shared" si="6"/>
        <v>3156139.46</v>
      </c>
      <c r="I118" s="103">
        <f t="shared" si="7"/>
        <v>0</v>
      </c>
      <c r="J118" s="103">
        <f>+H118-'Exercise 11 - Inc BF Meth'!G118</f>
        <v>-475723.54000000004</v>
      </c>
    </row>
    <row r="119" spans="3:10">
      <c r="C119" s="103">
        <f>+'Input Data'!C23</f>
        <v>11099580</v>
      </c>
      <c r="D119" s="109">
        <f>+'Exercise 10 - Expected LR Meth'!H22</f>
        <v>0</v>
      </c>
      <c r="E119" s="244">
        <f>1-1/'Exercise 6 - Paid LDFs'!T117</f>
        <v>0.24504184371181714</v>
      </c>
      <c r="F119" s="103">
        <f t="shared" si="5"/>
        <v>0</v>
      </c>
      <c r="G119" s="109">
        <f>+'Exercise 6 - Paid LDFs'!S117</f>
        <v>6907218</v>
      </c>
      <c r="H119" s="103">
        <f t="shared" si="6"/>
        <v>6907218</v>
      </c>
      <c r="I119" s="103">
        <f t="shared" si="7"/>
        <v>0</v>
      </c>
      <c r="J119" s="103">
        <f>+H119-'Exercise 11 - Inc BF Meth'!G119</f>
        <v>-535550</v>
      </c>
    </row>
    <row r="120" spans="3:10">
      <c r="C120" s="103">
        <f>+'Input Data'!C24</f>
        <v>10683363</v>
      </c>
      <c r="D120" s="109">
        <f>+'Exercise 10 - Expected LR Meth'!H23</f>
        <v>0</v>
      </c>
      <c r="E120" s="244">
        <f>1-1/'Exercise 6 - Paid LDFs'!T118</f>
        <v>0.32169078500612491</v>
      </c>
      <c r="F120" s="103">
        <f t="shared" si="5"/>
        <v>0</v>
      </c>
      <c r="G120" s="109">
        <f>+'Exercise 6 - Paid LDFs'!S118</f>
        <v>4132680</v>
      </c>
      <c r="H120" s="103">
        <f t="shared" si="6"/>
        <v>4132680</v>
      </c>
      <c r="I120" s="103">
        <f t="shared" si="7"/>
        <v>0</v>
      </c>
      <c r="J120" s="103">
        <f>+H120-'Exercise 11 - Inc BF Meth'!G120</f>
        <v>-1315614</v>
      </c>
    </row>
    <row r="121" spans="3:10">
      <c r="C121" s="103">
        <f>+'Input Data'!C25</f>
        <v>10430225</v>
      </c>
      <c r="D121" s="109">
        <f>+'Exercise 10 - Expected LR Meth'!H24</f>
        <v>0</v>
      </c>
      <c r="E121" s="244">
        <f>1-1/'Exercise 6 - Paid LDFs'!T119</f>
        <v>0.44263827855885374</v>
      </c>
      <c r="F121" s="103">
        <f t="shared" si="5"/>
        <v>0</v>
      </c>
      <c r="G121" s="109">
        <f>+'Exercise 6 - Paid LDFs'!S119</f>
        <v>1766812.92</v>
      </c>
      <c r="H121" s="103">
        <f t="shared" si="6"/>
        <v>1766812.92</v>
      </c>
      <c r="I121" s="103">
        <f t="shared" si="7"/>
        <v>0</v>
      </c>
      <c r="J121" s="103">
        <f>+H121-'Exercise 11 - Inc BF Meth'!G121</f>
        <v>-1144218.08</v>
      </c>
    </row>
    <row r="122" spans="3:10">
      <c r="C122" s="103">
        <f>+'Input Data'!C26</f>
        <v>10106327</v>
      </c>
      <c r="D122" s="109">
        <f>+'Exercise 10 - Expected LR Meth'!H25</f>
        <v>0</v>
      </c>
      <c r="E122" s="244">
        <f>1-1/'Exercise 6 - Paid LDFs'!T120</f>
        <v>0.58713946559915098</v>
      </c>
      <c r="F122" s="103">
        <f t="shared" si="5"/>
        <v>0</v>
      </c>
      <c r="G122" s="109">
        <f>+'Exercise 6 - Paid LDFs'!S120</f>
        <v>1655619</v>
      </c>
      <c r="H122" s="103">
        <f t="shared" si="6"/>
        <v>1655619</v>
      </c>
      <c r="I122" s="103">
        <f t="shared" si="7"/>
        <v>0</v>
      </c>
      <c r="J122" s="103">
        <f>+H122-'Exercise 11 - Inc BF Meth'!G122</f>
        <v>-1389906</v>
      </c>
    </row>
    <row r="123" spans="3:10">
      <c r="C123" s="103">
        <f>+'Input Data'!C27</f>
        <v>9889744</v>
      </c>
      <c r="D123" s="109">
        <f>+'Exercise 10 - Expected LR Meth'!H26</f>
        <v>0</v>
      </c>
      <c r="E123" s="244">
        <f>1-1/'Exercise 6 - Paid LDFs'!T121</f>
        <v>0.73952016757044226</v>
      </c>
      <c r="F123" s="103">
        <f t="shared" si="5"/>
        <v>0</v>
      </c>
      <c r="G123" s="109">
        <f>+'Exercise 6 - Paid LDFs'!S121</f>
        <v>629188</v>
      </c>
      <c r="H123" s="103">
        <f t="shared" si="6"/>
        <v>629188</v>
      </c>
      <c r="I123" s="103">
        <f t="shared" si="7"/>
        <v>0</v>
      </c>
      <c r="J123" s="103">
        <f>+H123-'Exercise 11 - Inc BF Meth'!G123</f>
        <v>-1768759</v>
      </c>
    </row>
    <row r="124" spans="3:10">
      <c r="C124" s="103">
        <f>+'Input Data'!C28</f>
        <v>9998035.5</v>
      </c>
      <c r="D124" s="109">
        <f>+'Exercise 10 - Expected LR Meth'!H27</f>
        <v>0</v>
      </c>
      <c r="E124" s="244">
        <f>1-1/'Exercise 6 - Paid LDFs'!T122</f>
        <v>0.86877590305815733</v>
      </c>
      <c r="F124" s="103">
        <f t="shared" si="5"/>
        <v>0</v>
      </c>
      <c r="G124" s="109">
        <f>+'Exercise 6 - Paid LDFs'!S122</f>
        <v>383397</v>
      </c>
      <c r="H124" s="103">
        <f>+G124+F124</f>
        <v>383397</v>
      </c>
      <c r="I124" s="103">
        <f t="shared" si="7"/>
        <v>0</v>
      </c>
      <c r="J124" s="103">
        <f>+H124-'Exercise 11 - Inc BF Meth'!G124</f>
        <v>-1981673</v>
      </c>
    </row>
    <row r="125" spans="3:10">
      <c r="E125" s="244"/>
    </row>
    <row r="126" spans="3:10">
      <c r="C126" s="103">
        <f>SUM(C110:C125)</f>
        <v>139880468.5</v>
      </c>
      <c r="D126" s="103">
        <f>SUM(D110:D125)</f>
        <v>0</v>
      </c>
      <c r="E126" s="244"/>
      <c r="F126" s="103">
        <f>SUM(F110:F125)</f>
        <v>0</v>
      </c>
      <c r="G126" s="103">
        <f>SUM(G110:G125)</f>
        <v>47438135.420037001</v>
      </c>
      <c r="H126" s="103">
        <f>SUM(H110:H125)</f>
        <v>47438135.420037001</v>
      </c>
      <c r="I126" s="103">
        <f>SUM(I110:I125)</f>
        <v>0</v>
      </c>
      <c r="J126" s="103">
        <f>SUM(J110:J125)</f>
        <v>-9577870.8789579999</v>
      </c>
    </row>
    <row r="127" spans="3:10">
      <c r="E127" s="244"/>
    </row>
  </sheetData>
  <conditionalFormatting sqref="E17:E31">
    <cfRule type="cellIs" dxfId="52" priority="7" operator="notEqual">
      <formula>$E110</formula>
    </cfRule>
  </conditionalFormatting>
  <conditionalFormatting sqref="F17:F33">
    <cfRule type="cellIs" dxfId="51" priority="6" operator="notEqual">
      <formula>$F110</formula>
    </cfRule>
  </conditionalFormatting>
  <conditionalFormatting sqref="D17:D33">
    <cfRule type="cellIs" dxfId="50" priority="5" operator="notEqual">
      <formula>$D110</formula>
    </cfRule>
  </conditionalFormatting>
  <conditionalFormatting sqref="H17:H33">
    <cfRule type="cellIs" dxfId="49" priority="4" operator="notEqual">
      <formula>$H110</formula>
    </cfRule>
  </conditionalFormatting>
  <conditionalFormatting sqref="I17:I33">
    <cfRule type="cellIs" dxfId="48" priority="3" operator="notEqual">
      <formula>$I110</formula>
    </cfRule>
  </conditionalFormatting>
  <conditionalFormatting sqref="J17:J33">
    <cfRule type="cellIs" dxfId="47" priority="2" operator="notEqual">
      <formula>$J110</formula>
    </cfRule>
  </conditionalFormatting>
  <conditionalFormatting sqref="D17:D31">
    <cfRule type="cellIs" dxfId="15" priority="1" operator="notEqual">
      <formula>$D110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F0"/>
  </sheetPr>
  <dimension ref="A1:J127"/>
  <sheetViews>
    <sheetView topLeftCell="A8" workbookViewId="0">
      <selection activeCell="D17" sqref="D17"/>
    </sheetView>
  </sheetViews>
  <sheetFormatPr defaultRowHeight="12.75"/>
  <cols>
    <col min="1" max="2" width="13.42578125" customWidth="1"/>
    <col min="3" max="3" width="16.85546875" customWidth="1"/>
    <col min="4" max="4" width="17.28515625" customWidth="1"/>
    <col min="5" max="5" width="13.42578125" customWidth="1"/>
    <col min="6" max="6" width="14.140625" customWidth="1"/>
    <col min="7" max="7" width="17.7109375" customWidth="1"/>
    <col min="8" max="9" width="17.28515625" customWidth="1"/>
    <col min="10" max="10" width="14.7109375" customWidth="1"/>
    <col min="11" max="14" width="9.7109375" customWidth="1"/>
    <col min="15" max="15" width="14.140625" customWidth="1"/>
  </cols>
  <sheetData>
    <row r="1" spans="1:10" ht="15.75">
      <c r="A1" s="203" t="s">
        <v>0</v>
      </c>
      <c r="B1" s="73"/>
      <c r="C1" s="73"/>
      <c r="D1" s="73"/>
    </row>
    <row r="2" spans="1:10" ht="15.75">
      <c r="A2" s="204" t="str">
        <f>+"Analysis of Loss &amp; DCC Reserves as of "&amp;TEXT(EvalDate,"mm/dd/yyy")</f>
        <v>Analysis of Loss &amp; DCC Reserves as of 12/31/2016</v>
      </c>
      <c r="B2" s="73"/>
      <c r="C2" s="73"/>
      <c r="D2" s="73"/>
    </row>
    <row r="3" spans="1:10" ht="15.75">
      <c r="A3" s="205" t="str">
        <f>+LOB</f>
        <v>Liability</v>
      </c>
      <c r="B3" s="73"/>
      <c r="C3" s="73"/>
      <c r="D3" s="73"/>
    </row>
    <row r="4" spans="1:10" ht="15.75">
      <c r="A4" s="73"/>
      <c r="B4" s="73"/>
      <c r="C4" s="73"/>
      <c r="D4" s="73"/>
    </row>
    <row r="6" spans="1:10" ht="15.75">
      <c r="A6" s="73" t="s">
        <v>92</v>
      </c>
      <c r="B6" s="73"/>
      <c r="C6" s="73"/>
      <c r="D6" s="73"/>
    </row>
    <row r="7" spans="1:10" ht="15.75">
      <c r="A7" s="73"/>
      <c r="B7" s="73"/>
      <c r="C7" s="73"/>
      <c r="D7" s="73"/>
    </row>
    <row r="8" spans="1:10" ht="15.75">
      <c r="A8" s="73"/>
      <c r="B8" s="73"/>
      <c r="C8" s="73"/>
      <c r="D8" s="73"/>
    </row>
    <row r="9" spans="1:10" ht="15.75">
      <c r="A9" s="73"/>
      <c r="B9" s="74"/>
      <c r="C9" s="74"/>
      <c r="D9" s="74"/>
      <c r="E9" s="75"/>
      <c r="F9" s="76"/>
      <c r="G9" s="76"/>
      <c r="H9" s="76"/>
      <c r="I9" s="76"/>
      <c r="J9" s="76"/>
    </row>
    <row r="10" spans="1:10" ht="15.75">
      <c r="A10" s="73"/>
      <c r="B10" s="78" t="s">
        <v>45</v>
      </c>
      <c r="C10" s="79" t="s">
        <v>46</v>
      </c>
      <c r="D10" s="79" t="s">
        <v>47</v>
      </c>
      <c r="E10" s="79" t="s">
        <v>48</v>
      </c>
      <c r="F10" s="79" t="s">
        <v>49</v>
      </c>
      <c r="G10" s="79" t="s">
        <v>50</v>
      </c>
      <c r="H10" s="79" t="s">
        <v>51</v>
      </c>
      <c r="I10" s="79" t="s">
        <v>87</v>
      </c>
      <c r="J10" s="79" t="s">
        <v>104</v>
      </c>
    </row>
    <row r="11" spans="1:10" ht="15.75">
      <c r="A11" s="40"/>
      <c r="B11" s="81"/>
      <c r="C11" s="81"/>
      <c r="D11" s="81"/>
      <c r="E11" s="82"/>
      <c r="F11" s="83"/>
      <c r="G11" s="84"/>
      <c r="H11" s="76"/>
      <c r="I11" s="76"/>
      <c r="J11" s="76"/>
    </row>
    <row r="12" spans="1:10" ht="15.75">
      <c r="A12" s="46"/>
      <c r="B12" s="85"/>
      <c r="C12" s="85"/>
      <c r="D12" s="85"/>
      <c r="E12" s="86"/>
      <c r="F12" s="83"/>
      <c r="G12" s="83"/>
      <c r="H12" s="83"/>
      <c r="I12" s="83"/>
      <c r="J12" s="83"/>
    </row>
    <row r="13" spans="1:10" ht="15.75">
      <c r="A13" s="46"/>
      <c r="B13" s="85"/>
      <c r="C13" s="85"/>
      <c r="D13" s="85"/>
      <c r="E13" s="86" t="s">
        <v>64</v>
      </c>
      <c r="F13" s="83"/>
      <c r="G13" s="83"/>
      <c r="H13" s="83" t="s">
        <v>93</v>
      </c>
      <c r="I13" s="83" t="s">
        <v>54</v>
      </c>
      <c r="J13" s="83" t="s">
        <v>54</v>
      </c>
    </row>
    <row r="14" spans="1:10" ht="15.75">
      <c r="A14" s="46" t="s">
        <v>3</v>
      </c>
      <c r="B14" s="85"/>
      <c r="C14" s="86" t="s">
        <v>143</v>
      </c>
      <c r="D14" s="83" t="s">
        <v>81</v>
      </c>
      <c r="E14" s="86" t="s">
        <v>89</v>
      </c>
      <c r="F14" s="83" t="s">
        <v>54</v>
      </c>
      <c r="G14" s="86" t="s">
        <v>64</v>
      </c>
      <c r="H14" s="83" t="s">
        <v>60</v>
      </c>
      <c r="I14" s="83" t="s">
        <v>148</v>
      </c>
      <c r="J14" s="83" t="s">
        <v>89</v>
      </c>
    </row>
    <row r="15" spans="1:10" ht="15.75">
      <c r="A15" s="87" t="s">
        <v>5</v>
      </c>
      <c r="B15" s="88" t="s">
        <v>57</v>
      </c>
      <c r="C15" s="88" t="s">
        <v>58</v>
      </c>
      <c r="D15" s="87" t="s">
        <v>73</v>
      </c>
      <c r="E15" s="83" t="s">
        <v>90</v>
      </c>
      <c r="F15" s="87" t="s">
        <v>89</v>
      </c>
      <c r="G15" s="87" t="s">
        <v>53</v>
      </c>
      <c r="H15" s="87" t="s">
        <v>73</v>
      </c>
      <c r="I15" s="87" t="s">
        <v>94</v>
      </c>
      <c r="J15" s="87" t="s">
        <v>94</v>
      </c>
    </row>
    <row r="16" spans="1:10">
      <c r="A16" s="89"/>
      <c r="B16" s="89"/>
      <c r="C16" s="89"/>
      <c r="D16" s="89"/>
      <c r="E16" s="90"/>
      <c r="F16" s="90"/>
      <c r="G16" s="90"/>
      <c r="H16" s="90"/>
      <c r="I16" s="90"/>
      <c r="J16" s="90"/>
    </row>
    <row r="17" spans="1:10" ht="15.75">
      <c r="A17" s="89">
        <f t="shared" ref="A17:A29" si="0">+A18-1</f>
        <v>2002</v>
      </c>
      <c r="B17" s="122">
        <f t="shared" ref="B17:B29" si="1">+B18+12</f>
        <v>180</v>
      </c>
      <c r="C17" s="123">
        <f>+'Input Data'!C14</f>
        <v>6953372</v>
      </c>
      <c r="D17" s="287">
        <f>+D110</f>
        <v>0</v>
      </c>
      <c r="E17" s="322">
        <f>+E110</f>
        <v>0</v>
      </c>
      <c r="F17" s="291">
        <f>+D17*E17</f>
        <v>0</v>
      </c>
      <c r="G17" s="94">
        <f>+'Exercise 7 &amp; 8 Inc Dev Meth'!D17</f>
        <v>4230708.2989949994</v>
      </c>
      <c r="H17" s="291">
        <f t="shared" ref="H17:J30" si="2">+H110</f>
        <v>4230708.2989949994</v>
      </c>
      <c r="I17" s="291">
        <f t="shared" si="2"/>
        <v>164371.90895800013</v>
      </c>
      <c r="J17" s="291">
        <f>+J110</f>
        <v>0</v>
      </c>
    </row>
    <row r="18" spans="1:10" ht="15.75">
      <c r="A18" s="89">
        <f t="shared" si="0"/>
        <v>2003</v>
      </c>
      <c r="B18" s="122">
        <f t="shared" si="1"/>
        <v>168</v>
      </c>
      <c r="C18" s="123">
        <f>+'Input Data'!C15</f>
        <v>6567116</v>
      </c>
      <c r="D18" s="287">
        <f t="shared" ref="D18:E31" si="3">+D111</f>
        <v>0</v>
      </c>
      <c r="E18" s="322">
        <f t="shared" si="3"/>
        <v>0</v>
      </c>
      <c r="F18" s="291">
        <f t="shared" ref="F18:F31" si="4">+D18*E18</f>
        <v>0</v>
      </c>
      <c r="G18" s="94">
        <f>+'Exercise 7 &amp; 8 Inc Dev Meth'!D18</f>
        <v>3320551.0000000005</v>
      </c>
      <c r="H18" s="291">
        <f t="shared" si="2"/>
        <v>3320551.0000000005</v>
      </c>
      <c r="I18" s="291">
        <f t="shared" si="2"/>
        <v>49522.540000000503</v>
      </c>
      <c r="J18" s="291">
        <f t="shared" si="2"/>
        <v>0</v>
      </c>
    </row>
    <row r="19" spans="1:10" ht="15.75">
      <c r="A19" s="89">
        <f t="shared" si="0"/>
        <v>2004</v>
      </c>
      <c r="B19" s="122">
        <f t="shared" si="1"/>
        <v>156</v>
      </c>
      <c r="C19" s="123">
        <f>+'Input Data'!C16</f>
        <v>6690146</v>
      </c>
      <c r="D19" s="287">
        <f t="shared" si="3"/>
        <v>0</v>
      </c>
      <c r="E19" s="322">
        <f t="shared" si="3"/>
        <v>5.2900771134050117E-3</v>
      </c>
      <c r="F19" s="291">
        <f t="shared" si="4"/>
        <v>0</v>
      </c>
      <c r="G19" s="94">
        <f>+'Exercise 7 &amp; 8 Inc Dev Meth'!D19</f>
        <v>4622140</v>
      </c>
      <c r="H19" s="291">
        <f t="shared" si="2"/>
        <v>4622140</v>
      </c>
      <c r="I19" s="291">
        <f t="shared" si="2"/>
        <v>35227</v>
      </c>
      <c r="J19" s="291">
        <f t="shared" si="2"/>
        <v>0</v>
      </c>
    </row>
    <row r="20" spans="1:10" ht="15.75">
      <c r="A20" s="89">
        <f t="shared" si="0"/>
        <v>2005</v>
      </c>
      <c r="B20" s="122">
        <f t="shared" si="1"/>
        <v>144</v>
      </c>
      <c r="C20" s="123">
        <f>+'Input Data'!C17</f>
        <v>7103262.0000000009</v>
      </c>
      <c r="D20" s="287">
        <f t="shared" si="3"/>
        <v>0</v>
      </c>
      <c r="E20" s="322">
        <f t="shared" si="3"/>
        <v>1.1426548070406661E-2</v>
      </c>
      <c r="F20" s="291">
        <f t="shared" si="4"/>
        <v>0</v>
      </c>
      <c r="G20" s="94">
        <f>+'Exercise 7 &amp; 8 Inc Dev Meth'!D20</f>
        <v>4629843.9999999991</v>
      </c>
      <c r="H20" s="291">
        <f t="shared" si="2"/>
        <v>4629843.9999999991</v>
      </c>
      <c r="I20" s="291">
        <f t="shared" si="2"/>
        <v>73106.779999999329</v>
      </c>
      <c r="J20" s="291">
        <f t="shared" si="2"/>
        <v>0</v>
      </c>
    </row>
    <row r="21" spans="1:10" ht="15.75">
      <c r="A21" s="89">
        <f t="shared" si="0"/>
        <v>2006</v>
      </c>
      <c r="B21" s="122">
        <f t="shared" si="1"/>
        <v>132</v>
      </c>
      <c r="C21" s="123">
        <f>+'Input Data'!C18</f>
        <v>7959030</v>
      </c>
      <c r="D21" s="287">
        <f t="shared" si="3"/>
        <v>0</v>
      </c>
      <c r="E21" s="322">
        <f t="shared" si="3"/>
        <v>2.8312648908031202E-2</v>
      </c>
      <c r="F21" s="291">
        <f t="shared" si="4"/>
        <v>0</v>
      </c>
      <c r="G21" s="94">
        <f>+'Exercise 7 &amp; 8 Inc Dev Meth'!D21</f>
        <v>4721272</v>
      </c>
      <c r="H21" s="291">
        <f t="shared" si="2"/>
        <v>4721272</v>
      </c>
      <c r="I21" s="291">
        <f t="shared" si="2"/>
        <v>363441.50999999978</v>
      </c>
      <c r="J21" s="291">
        <f t="shared" si="2"/>
        <v>0</v>
      </c>
    </row>
    <row r="22" spans="1:10" ht="15.75">
      <c r="A22" s="89">
        <f t="shared" si="0"/>
        <v>2007</v>
      </c>
      <c r="B22" s="122">
        <f t="shared" si="1"/>
        <v>120</v>
      </c>
      <c r="C22" s="123">
        <f>+'Input Data'!C19</f>
        <v>9363418</v>
      </c>
      <c r="D22" s="287">
        <f t="shared" si="3"/>
        <v>0</v>
      </c>
      <c r="E22" s="322">
        <f t="shared" si="3"/>
        <v>8.393255529178778E-2</v>
      </c>
      <c r="F22" s="291">
        <f t="shared" si="4"/>
        <v>0</v>
      </c>
      <c r="G22" s="94">
        <f>+'Exercise 7 &amp; 8 Inc Dev Meth'!D22</f>
        <v>3244357</v>
      </c>
      <c r="H22" s="291">
        <f t="shared" si="2"/>
        <v>3244357</v>
      </c>
      <c r="I22" s="291">
        <f t="shared" si="2"/>
        <v>70004.490000000224</v>
      </c>
      <c r="J22" s="291">
        <f t="shared" si="2"/>
        <v>0</v>
      </c>
    </row>
    <row r="23" spans="1:10" ht="15.75">
      <c r="A23" s="89">
        <f t="shared" si="0"/>
        <v>2008</v>
      </c>
      <c r="B23" s="122">
        <f t="shared" si="1"/>
        <v>108</v>
      </c>
      <c r="C23" s="123">
        <f>+'Input Data'!C20</f>
        <v>10597562</v>
      </c>
      <c r="D23" s="287">
        <f t="shared" si="3"/>
        <v>0</v>
      </c>
      <c r="E23" s="322">
        <f t="shared" si="3"/>
        <v>0.14803887674969662</v>
      </c>
      <c r="F23" s="291">
        <f t="shared" si="4"/>
        <v>0</v>
      </c>
      <c r="G23" s="94">
        <f>+'Exercise 7 &amp; 8 Inc Dev Meth'!D23</f>
        <v>2329891</v>
      </c>
      <c r="H23" s="291">
        <f t="shared" si="2"/>
        <v>2329891</v>
      </c>
      <c r="I23" s="291">
        <f t="shared" si="2"/>
        <v>0</v>
      </c>
      <c r="J23" s="291">
        <f t="shared" si="2"/>
        <v>0</v>
      </c>
    </row>
    <row r="24" spans="1:10" ht="15.75">
      <c r="A24" s="89">
        <f t="shared" si="0"/>
        <v>2009</v>
      </c>
      <c r="B24" s="122">
        <f t="shared" si="1"/>
        <v>96</v>
      </c>
      <c r="C24" s="123">
        <f>+'Input Data'!C21</f>
        <v>11036360</v>
      </c>
      <c r="D24" s="287">
        <f t="shared" si="3"/>
        <v>0</v>
      </c>
      <c r="E24" s="322">
        <f t="shared" si="3"/>
        <v>0.15644469992112209</v>
      </c>
      <c r="F24" s="291">
        <f t="shared" si="4"/>
        <v>0</v>
      </c>
      <c r="G24" s="94">
        <f>+'Exercise 7 &amp; 8 Inc Dev Meth'!D24</f>
        <v>2674745</v>
      </c>
      <c r="H24" s="291">
        <f t="shared" si="2"/>
        <v>2674745</v>
      </c>
      <c r="I24" s="291">
        <f t="shared" si="2"/>
        <v>210753.0299999998</v>
      </c>
      <c r="J24" s="291">
        <f t="shared" si="2"/>
        <v>0</v>
      </c>
    </row>
    <row r="25" spans="1:10" ht="15.75">
      <c r="A25" s="89">
        <f t="shared" si="0"/>
        <v>2010</v>
      </c>
      <c r="B25" s="122">
        <f t="shared" si="1"/>
        <v>84</v>
      </c>
      <c r="C25" s="123">
        <f>+'Input Data'!C22</f>
        <v>11402928</v>
      </c>
      <c r="D25" s="287">
        <f t="shared" si="3"/>
        <v>0</v>
      </c>
      <c r="E25" s="322">
        <f t="shared" si="3"/>
        <v>0.15151081600768157</v>
      </c>
      <c r="F25" s="291">
        <f t="shared" si="4"/>
        <v>0</v>
      </c>
      <c r="G25" s="94">
        <f>+'Exercise 7 &amp; 8 Inc Dev Meth'!D25</f>
        <v>3631863</v>
      </c>
      <c r="H25" s="291">
        <f t="shared" si="2"/>
        <v>3631863</v>
      </c>
      <c r="I25" s="291">
        <f t="shared" si="2"/>
        <v>475723.54000000004</v>
      </c>
      <c r="J25" s="291">
        <f t="shared" si="2"/>
        <v>0</v>
      </c>
    </row>
    <row r="26" spans="1:10" ht="15.75">
      <c r="A26" s="89">
        <f t="shared" si="0"/>
        <v>2011</v>
      </c>
      <c r="B26" s="122">
        <f t="shared" si="1"/>
        <v>72</v>
      </c>
      <c r="C26" s="123">
        <f>+'Input Data'!C23</f>
        <v>11099580</v>
      </c>
      <c r="D26" s="287">
        <f t="shared" si="3"/>
        <v>0</v>
      </c>
      <c r="E26" s="322">
        <f t="shared" si="3"/>
        <v>0.16505204721042177</v>
      </c>
      <c r="F26" s="291">
        <f t="shared" si="4"/>
        <v>0</v>
      </c>
      <c r="G26" s="94">
        <f>+'Exercise 7 &amp; 8 Inc Dev Meth'!D26</f>
        <v>7442768</v>
      </c>
      <c r="H26" s="291">
        <f t="shared" si="2"/>
        <v>7442768</v>
      </c>
      <c r="I26" s="291">
        <f t="shared" si="2"/>
        <v>535550</v>
      </c>
      <c r="J26" s="291">
        <f t="shared" si="2"/>
        <v>0</v>
      </c>
    </row>
    <row r="27" spans="1:10" ht="15.75">
      <c r="A27" s="89">
        <f t="shared" si="0"/>
        <v>2012</v>
      </c>
      <c r="B27" s="122">
        <f t="shared" si="1"/>
        <v>60</v>
      </c>
      <c r="C27" s="123">
        <f>+'Input Data'!C24</f>
        <v>10683363</v>
      </c>
      <c r="D27" s="287">
        <f t="shared" si="3"/>
        <v>0</v>
      </c>
      <c r="E27" s="322">
        <f t="shared" si="3"/>
        <v>0.18332716971829111</v>
      </c>
      <c r="F27" s="291">
        <f t="shared" si="4"/>
        <v>0</v>
      </c>
      <c r="G27" s="94">
        <f>+'Exercise 7 &amp; 8 Inc Dev Meth'!D27</f>
        <v>5448294</v>
      </c>
      <c r="H27" s="291">
        <f t="shared" si="2"/>
        <v>5448294</v>
      </c>
      <c r="I27" s="291">
        <f t="shared" si="2"/>
        <v>1315614</v>
      </c>
      <c r="J27" s="291">
        <f t="shared" si="2"/>
        <v>0</v>
      </c>
    </row>
    <row r="28" spans="1:10" ht="15.75">
      <c r="A28" s="89">
        <f t="shared" si="0"/>
        <v>2013</v>
      </c>
      <c r="B28" s="122">
        <f t="shared" si="1"/>
        <v>48</v>
      </c>
      <c r="C28" s="123">
        <f>+'Input Data'!C25</f>
        <v>10430225</v>
      </c>
      <c r="D28" s="287">
        <f t="shared" si="3"/>
        <v>0</v>
      </c>
      <c r="E28" s="322">
        <f t="shared" si="3"/>
        <v>0.23177732003849028</v>
      </c>
      <c r="F28" s="291">
        <f t="shared" si="4"/>
        <v>0</v>
      </c>
      <c r="G28" s="94">
        <f>+'Exercise 7 &amp; 8 Inc Dev Meth'!D28</f>
        <v>2911031</v>
      </c>
      <c r="H28" s="291">
        <f t="shared" si="2"/>
        <v>2911031</v>
      </c>
      <c r="I28" s="291">
        <f t="shared" si="2"/>
        <v>1144218.08</v>
      </c>
      <c r="J28" s="291">
        <f t="shared" si="2"/>
        <v>0</v>
      </c>
    </row>
    <row r="29" spans="1:10" ht="15.75">
      <c r="A29" s="89">
        <f t="shared" si="0"/>
        <v>2014</v>
      </c>
      <c r="B29" s="122">
        <f t="shared" si="1"/>
        <v>36</v>
      </c>
      <c r="C29" s="123">
        <f>+'Input Data'!C26</f>
        <v>10106327</v>
      </c>
      <c r="D29" s="287">
        <f t="shared" si="3"/>
        <v>0</v>
      </c>
      <c r="E29" s="322">
        <f t="shared" si="3"/>
        <v>0.32358947932570448</v>
      </c>
      <c r="F29" s="291">
        <f t="shared" si="4"/>
        <v>0</v>
      </c>
      <c r="G29" s="94">
        <f>+'Exercise 7 &amp; 8 Inc Dev Meth'!D29</f>
        <v>3045525</v>
      </c>
      <c r="H29" s="291">
        <f t="shared" si="2"/>
        <v>3045525</v>
      </c>
      <c r="I29" s="291">
        <f t="shared" si="2"/>
        <v>1389906</v>
      </c>
      <c r="J29" s="291">
        <f t="shared" si="2"/>
        <v>0</v>
      </c>
    </row>
    <row r="30" spans="1:10" ht="15.75">
      <c r="A30" s="89">
        <f>+A31-1</f>
        <v>2015</v>
      </c>
      <c r="B30" s="122">
        <f>+B31+12</f>
        <v>24</v>
      </c>
      <c r="C30" s="123">
        <f>+'Input Data'!C27</f>
        <v>9889744</v>
      </c>
      <c r="D30" s="287">
        <f t="shared" si="3"/>
        <v>0</v>
      </c>
      <c r="E30" s="322">
        <f t="shared" si="3"/>
        <v>0.44536699922141088</v>
      </c>
      <c r="F30" s="291">
        <f t="shared" si="4"/>
        <v>0</v>
      </c>
      <c r="G30" s="94">
        <f>+'Exercise 7 &amp; 8 Inc Dev Meth'!D30</f>
        <v>2397947</v>
      </c>
      <c r="H30" s="291">
        <f t="shared" si="2"/>
        <v>2397947</v>
      </c>
      <c r="I30" s="291">
        <f t="shared" si="2"/>
        <v>1768759</v>
      </c>
      <c r="J30" s="291">
        <f t="shared" si="2"/>
        <v>0</v>
      </c>
    </row>
    <row r="31" spans="1:10" ht="15.75">
      <c r="A31" s="89">
        <f>+EndYear</f>
        <v>2016</v>
      </c>
      <c r="B31" s="122">
        <v>12</v>
      </c>
      <c r="C31" s="123">
        <f>+'Input Data'!C28</f>
        <v>9998035.5</v>
      </c>
      <c r="D31" s="287">
        <f t="shared" si="3"/>
        <v>0</v>
      </c>
      <c r="E31" s="322">
        <f t="shared" si="3"/>
        <v>0.62553728142034104</v>
      </c>
      <c r="F31" s="291">
        <f t="shared" si="4"/>
        <v>0</v>
      </c>
      <c r="G31" s="94">
        <f>+'Exercise 7 &amp; 8 Inc Dev Meth'!D31</f>
        <v>2365070</v>
      </c>
      <c r="H31" s="291">
        <f>+H124</f>
        <v>2365070</v>
      </c>
      <c r="I31" s="291">
        <f>+I124</f>
        <v>1981673</v>
      </c>
      <c r="J31" s="291">
        <f t="shared" ref="J31" si="5">+J124</f>
        <v>0</v>
      </c>
    </row>
    <row r="32" spans="1:10">
      <c r="A32" s="89"/>
      <c r="B32" s="89"/>
      <c r="C32" s="89"/>
      <c r="D32" s="89"/>
      <c r="E32" s="95"/>
      <c r="F32" s="107"/>
      <c r="G32" s="95"/>
      <c r="H32" s="107"/>
      <c r="I32" s="107"/>
      <c r="J32" s="107"/>
    </row>
    <row r="33" spans="1:10">
      <c r="A33" s="97" t="s">
        <v>63</v>
      </c>
      <c r="B33" s="97"/>
      <c r="C33" s="98">
        <f>SUM(C17:C31)</f>
        <v>139880468.5</v>
      </c>
      <c r="D33" s="262">
        <f>+SUM(D17:D31)</f>
        <v>0</v>
      </c>
      <c r="E33" s="290"/>
      <c r="F33" s="289">
        <f>+SUM(F17:F31)</f>
        <v>0</v>
      </c>
      <c r="G33" s="98">
        <f>SUM(G17:G31)</f>
        <v>57016006.298995003</v>
      </c>
      <c r="H33" s="262">
        <f>+SUM(H17:H31)</f>
        <v>57016006.298995003</v>
      </c>
      <c r="I33" s="262">
        <f>+SUM(I17:I31)</f>
        <v>9577870.8789579999</v>
      </c>
      <c r="J33" s="262">
        <f>+SUM(J17:J31)</f>
        <v>0</v>
      </c>
    </row>
    <row r="35" spans="1:10" ht="15.75">
      <c r="A35" s="100"/>
      <c r="B35" s="100"/>
      <c r="C35" s="100"/>
      <c r="D35" s="100"/>
      <c r="E35" s="303" t="s">
        <v>156</v>
      </c>
    </row>
    <row r="36" spans="1:10" ht="15.75">
      <c r="A36" s="101"/>
      <c r="B36" s="101"/>
      <c r="C36" s="101"/>
      <c r="D36" s="101"/>
    </row>
    <row r="107" spans="3:10">
      <c r="C107" s="103"/>
      <c r="D107" s="109"/>
      <c r="E107" s="244"/>
      <c r="F107" s="103"/>
      <c r="G107" s="109"/>
      <c r="H107" s="103"/>
      <c r="I107" s="103"/>
    </row>
    <row r="108" spans="3:10">
      <c r="C108" s="103"/>
      <c r="D108" s="109"/>
      <c r="E108" s="244"/>
      <c r="F108" s="103"/>
      <c r="G108" s="109"/>
      <c r="H108" s="103"/>
      <c r="I108" s="103"/>
    </row>
    <row r="109" spans="3:10">
      <c r="C109" s="103"/>
      <c r="D109" s="109"/>
      <c r="E109" s="244"/>
      <c r="F109" s="103"/>
      <c r="G109" s="109"/>
      <c r="H109" s="103"/>
      <c r="I109" s="103"/>
    </row>
    <row r="110" spans="3:10">
      <c r="C110" s="103">
        <f>+'Input Data'!C14</f>
        <v>6953372</v>
      </c>
      <c r="D110" s="109">
        <f>+'Exercise 10 - Expected LR Meth'!G13*C110</f>
        <v>0</v>
      </c>
      <c r="E110" s="244">
        <f>1-1/'Exercise 6 Inc LDFs'!T111</f>
        <v>0</v>
      </c>
      <c r="F110" s="103">
        <f>+E110*D110</f>
        <v>0</v>
      </c>
      <c r="G110" s="109">
        <f>+'Exercise 7 &amp; 8 Inc Dev Meth'!D17</f>
        <v>4230708.2989949994</v>
      </c>
      <c r="H110" s="103">
        <f>+G110+F110</f>
        <v>4230708.2989949994</v>
      </c>
      <c r="I110" s="103">
        <f>+H110-'Exercise 11 - Paid BF Meth'!G108</f>
        <v>164371.90895800013</v>
      </c>
      <c r="J110" s="103">
        <f t="shared" ref="J110:J124" si="6">+H110-G110</f>
        <v>0</v>
      </c>
    </row>
    <row r="111" spans="3:10">
      <c r="C111" s="103">
        <f>+'Input Data'!C15</f>
        <v>6567116</v>
      </c>
      <c r="D111" s="109">
        <f>+'Exercise 10 - Expected LR Meth'!G14*C111</f>
        <v>0</v>
      </c>
      <c r="E111" s="244">
        <f>1-1/'Exercise 6 Inc LDFs'!T112</f>
        <v>0</v>
      </c>
      <c r="F111" s="103">
        <f t="shared" ref="F111:F124" si="7">+E111*D111</f>
        <v>0</v>
      </c>
      <c r="G111" s="109">
        <f>+'Exercise 7 &amp; 8 Inc Dev Meth'!D18</f>
        <v>3320551.0000000005</v>
      </c>
      <c r="H111" s="103">
        <f t="shared" ref="H111:H123" si="8">+G111+F111</f>
        <v>3320551.0000000005</v>
      </c>
      <c r="I111" s="103">
        <f>+H111-'Exercise 11 - Paid BF Meth'!G109</f>
        <v>49522.540000000503</v>
      </c>
      <c r="J111" s="103">
        <f t="shared" si="6"/>
        <v>0</v>
      </c>
    </row>
    <row r="112" spans="3:10">
      <c r="C112" s="103">
        <f>+'Input Data'!C16</f>
        <v>6690146</v>
      </c>
      <c r="D112" s="109">
        <f>+'Exercise 10 - Expected LR Meth'!G15*C112</f>
        <v>0</v>
      </c>
      <c r="E112" s="244">
        <f>1-1/'Exercise 6 Inc LDFs'!T113</f>
        <v>5.2900771134050117E-3</v>
      </c>
      <c r="F112" s="103">
        <f t="shared" si="7"/>
        <v>0</v>
      </c>
      <c r="G112" s="109">
        <f>+'Exercise 7 &amp; 8 Inc Dev Meth'!D19</f>
        <v>4622140</v>
      </c>
      <c r="H112" s="103">
        <f t="shared" si="8"/>
        <v>4622140</v>
      </c>
      <c r="I112" s="103">
        <f>+H112-'Exercise 11 - Paid BF Meth'!G110</f>
        <v>35227</v>
      </c>
      <c r="J112" s="103">
        <f t="shared" si="6"/>
        <v>0</v>
      </c>
    </row>
    <row r="113" spans="3:10">
      <c r="C113" s="103">
        <f>+'Input Data'!C17</f>
        <v>7103262.0000000009</v>
      </c>
      <c r="D113" s="109">
        <f>+'Exercise 10 - Expected LR Meth'!G16*C113</f>
        <v>0</v>
      </c>
      <c r="E113" s="244">
        <f>1-1/'Exercise 6 Inc LDFs'!T114</f>
        <v>1.1426548070406661E-2</v>
      </c>
      <c r="F113" s="103">
        <f t="shared" si="7"/>
        <v>0</v>
      </c>
      <c r="G113" s="109">
        <f>+'Exercise 7 &amp; 8 Inc Dev Meth'!D20</f>
        <v>4629843.9999999991</v>
      </c>
      <c r="H113" s="103">
        <f t="shared" si="8"/>
        <v>4629843.9999999991</v>
      </c>
      <c r="I113" s="103">
        <f>+H113-'Exercise 11 - Paid BF Meth'!G111</f>
        <v>73106.779999999329</v>
      </c>
      <c r="J113" s="103">
        <f t="shared" si="6"/>
        <v>0</v>
      </c>
    </row>
    <row r="114" spans="3:10">
      <c r="C114" s="103">
        <f>+'Input Data'!C18</f>
        <v>7959030</v>
      </c>
      <c r="D114" s="109">
        <f>+'Exercise 10 - Expected LR Meth'!G17*C114</f>
        <v>0</v>
      </c>
      <c r="E114" s="244">
        <f>1-1/'Exercise 6 Inc LDFs'!T115</f>
        <v>2.8312648908031202E-2</v>
      </c>
      <c r="F114" s="103">
        <f t="shared" si="7"/>
        <v>0</v>
      </c>
      <c r="G114" s="109">
        <f>+'Exercise 7 &amp; 8 Inc Dev Meth'!D21</f>
        <v>4721272</v>
      </c>
      <c r="H114" s="103">
        <f t="shared" si="8"/>
        <v>4721272</v>
      </c>
      <c r="I114" s="103">
        <f>+H114-'Exercise 11 - Paid BF Meth'!G112</f>
        <v>363441.50999999978</v>
      </c>
      <c r="J114" s="103">
        <f t="shared" si="6"/>
        <v>0</v>
      </c>
    </row>
    <row r="115" spans="3:10">
      <c r="C115" s="103">
        <f>+'Input Data'!C19</f>
        <v>9363418</v>
      </c>
      <c r="D115" s="109">
        <f>+'Exercise 10 - Expected LR Meth'!G18*C115</f>
        <v>0</v>
      </c>
      <c r="E115" s="244">
        <f>1-1/'Exercise 6 Inc LDFs'!T116</f>
        <v>8.393255529178778E-2</v>
      </c>
      <c r="F115" s="103">
        <f t="shared" si="7"/>
        <v>0</v>
      </c>
      <c r="G115" s="109">
        <f>+'Exercise 7 &amp; 8 Inc Dev Meth'!D22</f>
        <v>3244357</v>
      </c>
      <c r="H115" s="103">
        <f t="shared" si="8"/>
        <v>3244357</v>
      </c>
      <c r="I115" s="103">
        <f>+H115-'Exercise 11 - Paid BF Meth'!G113</f>
        <v>70004.490000000224</v>
      </c>
      <c r="J115" s="103">
        <f t="shared" si="6"/>
        <v>0</v>
      </c>
    </row>
    <row r="116" spans="3:10">
      <c r="C116" s="103">
        <f>+'Input Data'!C20</f>
        <v>10597562</v>
      </c>
      <c r="D116" s="109">
        <f>+'Exercise 10 - Expected LR Meth'!G19*C116</f>
        <v>0</v>
      </c>
      <c r="E116" s="244">
        <f>1-1/'Exercise 6 Inc LDFs'!T117</f>
        <v>0.14803887674969662</v>
      </c>
      <c r="F116" s="103">
        <f t="shared" si="7"/>
        <v>0</v>
      </c>
      <c r="G116" s="109">
        <f>+'Exercise 7 &amp; 8 Inc Dev Meth'!D23</f>
        <v>2329891</v>
      </c>
      <c r="H116" s="103">
        <f t="shared" si="8"/>
        <v>2329891</v>
      </c>
      <c r="I116" s="103">
        <f>+H116-'Exercise 11 - Paid BF Meth'!G114</f>
        <v>0</v>
      </c>
      <c r="J116" s="103">
        <f t="shared" si="6"/>
        <v>0</v>
      </c>
    </row>
    <row r="117" spans="3:10">
      <c r="C117" s="103">
        <f>+'Input Data'!C21</f>
        <v>11036360</v>
      </c>
      <c r="D117" s="109">
        <f>+'Exercise 10 - Expected LR Meth'!G20*C117</f>
        <v>0</v>
      </c>
      <c r="E117" s="244">
        <f>1-1/'Exercise 6 Inc LDFs'!T118</f>
        <v>0.15644469992112209</v>
      </c>
      <c r="F117" s="103">
        <f t="shared" si="7"/>
        <v>0</v>
      </c>
      <c r="G117" s="109">
        <f>+'Exercise 7 &amp; 8 Inc Dev Meth'!D24</f>
        <v>2674745</v>
      </c>
      <c r="H117" s="103">
        <f t="shared" si="8"/>
        <v>2674745</v>
      </c>
      <c r="I117" s="103">
        <f>+H117-'Exercise 11 - Paid BF Meth'!G115</f>
        <v>210753.0299999998</v>
      </c>
      <c r="J117" s="103">
        <f t="shared" si="6"/>
        <v>0</v>
      </c>
    </row>
    <row r="118" spans="3:10">
      <c r="C118" s="103">
        <f>+'Input Data'!C22</f>
        <v>11402928</v>
      </c>
      <c r="D118" s="109">
        <f>+'Exercise 10 - Expected LR Meth'!G21*C118</f>
        <v>0</v>
      </c>
      <c r="E118" s="244">
        <f>1-1/'Exercise 6 Inc LDFs'!T119</f>
        <v>0.15151081600768157</v>
      </c>
      <c r="F118" s="103">
        <f t="shared" si="7"/>
        <v>0</v>
      </c>
      <c r="G118" s="109">
        <f>+'Exercise 7 &amp; 8 Inc Dev Meth'!D25</f>
        <v>3631863</v>
      </c>
      <c r="H118" s="103">
        <f t="shared" si="8"/>
        <v>3631863</v>
      </c>
      <c r="I118" s="103">
        <f>+H118-'Exercise 11 - Paid BF Meth'!G116</f>
        <v>475723.54000000004</v>
      </c>
      <c r="J118" s="103">
        <f t="shared" si="6"/>
        <v>0</v>
      </c>
    </row>
    <row r="119" spans="3:10">
      <c r="C119" s="103">
        <f>+'Input Data'!C23</f>
        <v>11099580</v>
      </c>
      <c r="D119" s="109">
        <f>+'Exercise 10 - Expected LR Meth'!G22*C119</f>
        <v>0</v>
      </c>
      <c r="E119" s="244">
        <f>1-1/'Exercise 6 Inc LDFs'!T120</f>
        <v>0.16505204721042177</v>
      </c>
      <c r="F119" s="103">
        <f t="shared" si="7"/>
        <v>0</v>
      </c>
      <c r="G119" s="109">
        <f>+'Exercise 7 &amp; 8 Inc Dev Meth'!D26</f>
        <v>7442768</v>
      </c>
      <c r="H119" s="103">
        <f t="shared" si="8"/>
        <v>7442768</v>
      </c>
      <c r="I119" s="103">
        <f>+H119-'Exercise 11 - Paid BF Meth'!G117</f>
        <v>535550</v>
      </c>
      <c r="J119" s="103">
        <f t="shared" si="6"/>
        <v>0</v>
      </c>
    </row>
    <row r="120" spans="3:10">
      <c r="C120" s="103">
        <f>+'Input Data'!C24</f>
        <v>10683363</v>
      </c>
      <c r="D120" s="109">
        <f>+'Exercise 10 - Expected LR Meth'!G23*C120</f>
        <v>0</v>
      </c>
      <c r="E120" s="244">
        <f>1-1/'Exercise 6 Inc LDFs'!T121</f>
        <v>0.18332716971829111</v>
      </c>
      <c r="F120" s="103">
        <f t="shared" si="7"/>
        <v>0</v>
      </c>
      <c r="G120" s="109">
        <f>+'Exercise 7 &amp; 8 Inc Dev Meth'!D27</f>
        <v>5448294</v>
      </c>
      <c r="H120" s="103">
        <f t="shared" si="8"/>
        <v>5448294</v>
      </c>
      <c r="I120" s="103">
        <f>+H120-'Exercise 11 - Paid BF Meth'!G118</f>
        <v>1315614</v>
      </c>
      <c r="J120" s="103">
        <f t="shared" si="6"/>
        <v>0</v>
      </c>
    </row>
    <row r="121" spans="3:10">
      <c r="C121" s="103">
        <f>+'Input Data'!C25</f>
        <v>10430225</v>
      </c>
      <c r="D121" s="109">
        <f>+'Exercise 10 - Expected LR Meth'!G24*C121</f>
        <v>0</v>
      </c>
      <c r="E121" s="244">
        <f>1-1/'Exercise 6 Inc LDFs'!T122</f>
        <v>0.23177732003849028</v>
      </c>
      <c r="F121" s="103">
        <f t="shared" si="7"/>
        <v>0</v>
      </c>
      <c r="G121" s="109">
        <f>+'Exercise 7 &amp; 8 Inc Dev Meth'!D28</f>
        <v>2911031</v>
      </c>
      <c r="H121" s="103">
        <f t="shared" si="8"/>
        <v>2911031</v>
      </c>
      <c r="I121" s="103">
        <f>+H121-'Exercise 11 - Paid BF Meth'!G119</f>
        <v>1144218.08</v>
      </c>
      <c r="J121" s="103">
        <f t="shared" si="6"/>
        <v>0</v>
      </c>
    </row>
    <row r="122" spans="3:10">
      <c r="C122" s="103">
        <f>+'Input Data'!C26</f>
        <v>10106327</v>
      </c>
      <c r="D122" s="109">
        <f>+'Exercise 10 - Expected LR Meth'!G25*C122</f>
        <v>0</v>
      </c>
      <c r="E122" s="244">
        <f>1-1/'Exercise 6 Inc LDFs'!T123</f>
        <v>0.32358947932570448</v>
      </c>
      <c r="F122" s="103">
        <f t="shared" si="7"/>
        <v>0</v>
      </c>
      <c r="G122" s="109">
        <f>+'Exercise 7 &amp; 8 Inc Dev Meth'!D29</f>
        <v>3045525</v>
      </c>
      <c r="H122" s="103">
        <f t="shared" si="8"/>
        <v>3045525</v>
      </c>
      <c r="I122" s="103">
        <f>+H122-'Exercise 11 - Paid BF Meth'!G120</f>
        <v>1389906</v>
      </c>
      <c r="J122" s="103">
        <f t="shared" si="6"/>
        <v>0</v>
      </c>
    </row>
    <row r="123" spans="3:10">
      <c r="C123" s="103">
        <f>+'Input Data'!C27</f>
        <v>9889744</v>
      </c>
      <c r="D123" s="109">
        <f>+'Exercise 10 - Expected LR Meth'!G26*C123</f>
        <v>0</v>
      </c>
      <c r="E123" s="244">
        <f>1-1/'Exercise 6 Inc LDFs'!T124</f>
        <v>0.44536699922141088</v>
      </c>
      <c r="F123" s="103">
        <f t="shared" si="7"/>
        <v>0</v>
      </c>
      <c r="G123" s="109">
        <f>+'Exercise 7 &amp; 8 Inc Dev Meth'!D30</f>
        <v>2397947</v>
      </c>
      <c r="H123" s="103">
        <f t="shared" si="8"/>
        <v>2397947</v>
      </c>
      <c r="I123" s="103">
        <f>+H123-'Exercise 11 - Paid BF Meth'!G121</f>
        <v>1768759</v>
      </c>
      <c r="J123" s="103">
        <f t="shared" si="6"/>
        <v>0</v>
      </c>
    </row>
    <row r="124" spans="3:10">
      <c r="C124" s="103">
        <f>+'Input Data'!C28</f>
        <v>9998035.5</v>
      </c>
      <c r="D124" s="109">
        <f>+'Exercise 10 - Expected LR Meth'!G27*C124</f>
        <v>0</v>
      </c>
      <c r="E124" s="244">
        <f>1-1/'Exercise 6 Inc LDFs'!T125</f>
        <v>0.62553728142034104</v>
      </c>
      <c r="F124" s="103">
        <f t="shared" si="7"/>
        <v>0</v>
      </c>
      <c r="G124" s="109">
        <f>+'Exercise 7 &amp; 8 Inc Dev Meth'!D31</f>
        <v>2365070</v>
      </c>
      <c r="H124" s="103">
        <f>+G124+F124</f>
        <v>2365070</v>
      </c>
      <c r="I124" s="103">
        <f>+H124-'Exercise 11 - Paid BF Meth'!G122</f>
        <v>1981673</v>
      </c>
      <c r="J124" s="103">
        <f t="shared" si="6"/>
        <v>0</v>
      </c>
    </row>
    <row r="125" spans="3:10">
      <c r="E125" s="244"/>
    </row>
    <row r="126" spans="3:10">
      <c r="C126" s="103">
        <f>SUM(C110:C125)</f>
        <v>139880468.5</v>
      </c>
      <c r="D126" s="103">
        <f>SUM(D110:D125)</f>
        <v>0</v>
      </c>
      <c r="E126" s="244"/>
      <c r="F126" s="103">
        <f>SUM(F110:F125)</f>
        <v>0</v>
      </c>
      <c r="G126" s="103">
        <f>SUM(G110:G125)</f>
        <v>57016006.298995003</v>
      </c>
      <c r="H126" s="103">
        <f>SUM(H110:H125)</f>
        <v>57016006.298995003</v>
      </c>
      <c r="I126" s="103">
        <f>SUM(I110:I125)</f>
        <v>9577870.8789579999</v>
      </c>
      <c r="J126" s="103">
        <f>SUM(J110:J125)</f>
        <v>0</v>
      </c>
    </row>
    <row r="127" spans="3:10">
      <c r="E127" s="244"/>
    </row>
  </sheetData>
  <conditionalFormatting sqref="F17:F33">
    <cfRule type="cellIs" dxfId="46" priority="12" operator="notEqual">
      <formula>$F110</formula>
    </cfRule>
  </conditionalFormatting>
  <conditionalFormatting sqref="D17:D33">
    <cfRule type="cellIs" dxfId="45" priority="11" operator="notEqual">
      <formula>$D110</formula>
    </cfRule>
  </conditionalFormatting>
  <conditionalFormatting sqref="H17:H33">
    <cfRule type="cellIs" dxfId="44" priority="10" operator="notEqual">
      <formula>$H110</formula>
    </cfRule>
  </conditionalFormatting>
  <conditionalFormatting sqref="I17:I33">
    <cfRule type="cellIs" dxfId="43" priority="4" operator="notEqual">
      <formula>$I110</formula>
    </cfRule>
  </conditionalFormatting>
  <conditionalFormatting sqref="J17:J33">
    <cfRule type="cellIs" dxfId="42" priority="3" operator="notEqual">
      <formula>$J110</formula>
    </cfRule>
  </conditionalFormatting>
  <conditionalFormatting sqref="E17:E31">
    <cfRule type="cellIs" dxfId="41" priority="1" operator="notEqual">
      <formula>$E110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P153"/>
  <sheetViews>
    <sheetView showGridLines="0" topLeftCell="A22" zoomScale="75" zoomScaleNormal="75" workbookViewId="0">
      <selection activeCell="B51" sqref="B51:D53"/>
    </sheetView>
  </sheetViews>
  <sheetFormatPr defaultColWidth="10" defaultRowHeight="15"/>
  <cols>
    <col min="1" max="1" width="15.5703125" style="45" customWidth="1"/>
    <col min="2" max="16" width="13.5703125" style="37" customWidth="1"/>
    <col min="17" max="17" width="1.85546875" style="37" customWidth="1"/>
    <col min="18" max="18" width="10" style="37" customWidth="1"/>
    <col min="19" max="19" width="11.7109375" style="37" customWidth="1"/>
    <col min="20" max="34" width="10" style="37" customWidth="1"/>
    <col min="35" max="16384" width="10" style="37"/>
  </cols>
  <sheetData>
    <row r="1" spans="1:27" ht="15.75">
      <c r="A1" s="203" t="s">
        <v>0</v>
      </c>
      <c r="B1" s="64"/>
      <c r="C1" s="64"/>
      <c r="D1" s="64"/>
      <c r="E1" s="64"/>
      <c r="F1" s="64"/>
    </row>
    <row r="2" spans="1:27" ht="15.75">
      <c r="A2" s="204" t="str">
        <f>+"Analysis of Loss &amp; DCC Reserves as of "&amp;TEXT(EvalDate,"mm/dd/yyy")</f>
        <v>Analysis of Loss &amp; DCC Reserves as of 12/31/2016</v>
      </c>
      <c r="B2" s="64"/>
      <c r="C2" s="64"/>
      <c r="D2" s="64"/>
      <c r="E2" s="64"/>
      <c r="F2" s="64"/>
    </row>
    <row r="3" spans="1:27" ht="15.75">
      <c r="A3" s="205" t="str">
        <f>+LOB</f>
        <v>Liability</v>
      </c>
      <c r="B3" s="64"/>
    </row>
    <row r="4" spans="1:27" ht="15.75"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>
      <c r="A5" s="38" t="s">
        <v>95</v>
      </c>
    </row>
    <row r="7" spans="1:27">
      <c r="A7" s="66" t="s">
        <v>3</v>
      </c>
      <c r="B7" s="41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</row>
    <row r="8" spans="1:27" s="45" customFormat="1">
      <c r="A8" s="43" t="s">
        <v>5</v>
      </c>
      <c r="B8" s="44">
        <v>12</v>
      </c>
      <c r="C8" s="44">
        <f t="shared" ref="C8:P8" si="0">B8+12</f>
        <v>24</v>
      </c>
      <c r="D8" s="44">
        <f t="shared" si="0"/>
        <v>36</v>
      </c>
      <c r="E8" s="44">
        <f t="shared" si="0"/>
        <v>48</v>
      </c>
      <c r="F8" s="44">
        <f t="shared" si="0"/>
        <v>60</v>
      </c>
      <c r="G8" s="44">
        <f t="shared" si="0"/>
        <v>72</v>
      </c>
      <c r="H8" s="44">
        <f t="shared" si="0"/>
        <v>84</v>
      </c>
      <c r="I8" s="44">
        <f t="shared" si="0"/>
        <v>96</v>
      </c>
      <c r="J8" s="44">
        <f t="shared" si="0"/>
        <v>108</v>
      </c>
      <c r="K8" s="44">
        <f t="shared" si="0"/>
        <v>120</v>
      </c>
      <c r="L8" s="44">
        <f t="shared" si="0"/>
        <v>132</v>
      </c>
      <c r="M8" s="44">
        <f t="shared" si="0"/>
        <v>144</v>
      </c>
      <c r="N8" s="44">
        <f t="shared" si="0"/>
        <v>156</v>
      </c>
      <c r="O8" s="44">
        <f t="shared" si="0"/>
        <v>168</v>
      </c>
      <c r="P8" s="44">
        <f t="shared" si="0"/>
        <v>180</v>
      </c>
      <c r="R8" s="45" t="s">
        <v>6</v>
      </c>
    </row>
    <row r="9" spans="1:27">
      <c r="A9" s="40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8"/>
    </row>
    <row r="10" spans="1:27">
      <c r="A10" s="49">
        <f t="shared" ref="A10:A22" si="1">+A11-1</f>
        <v>2002</v>
      </c>
      <c r="B10" s="317">
        <f>+B110</f>
        <v>5.2970926785254516E-2</v>
      </c>
      <c r="C10" s="317">
        <f t="shared" ref="C10:P10" si="2">+C110</f>
        <v>7.209954497071068E-2</v>
      </c>
      <c r="D10" s="317">
        <f t="shared" si="2"/>
        <v>0.14033944648615992</v>
      </c>
      <c r="E10" s="317">
        <f t="shared" si="2"/>
        <v>0.20813569284607897</v>
      </c>
      <c r="F10" s="317">
        <f t="shared" si="2"/>
        <v>0.21387060300658217</v>
      </c>
      <c r="G10" s="317">
        <f t="shared" si="2"/>
        <v>0.20998394678853438</v>
      </c>
      <c r="H10" s="317">
        <f t="shared" si="2"/>
        <v>0.20945803657074438</v>
      </c>
      <c r="I10" s="317">
        <f t="shared" si="2"/>
        <v>0.2101803446409618</v>
      </c>
      <c r="J10" s="317">
        <f t="shared" si="2"/>
        <v>0.20868590696981457</v>
      </c>
      <c r="K10" s="317">
        <f t="shared" si="2"/>
        <v>0.20744391018373259</v>
      </c>
      <c r="L10" s="317">
        <f t="shared" si="2"/>
        <v>0.1871956297696992</v>
      </c>
      <c r="M10" s="317">
        <f t="shared" si="2"/>
        <v>0.17864193061346564</v>
      </c>
      <c r="N10" s="317">
        <f t="shared" si="2"/>
        <v>0.17864193061346564</v>
      </c>
      <c r="O10" s="317">
        <f t="shared" si="2"/>
        <v>0.17687319862719372</v>
      </c>
      <c r="P10" s="317">
        <f t="shared" si="2"/>
        <v>0.17687319862719372</v>
      </c>
      <c r="Q10" s="48"/>
    </row>
    <row r="11" spans="1:27">
      <c r="A11" s="49">
        <f t="shared" si="1"/>
        <v>2003</v>
      </c>
      <c r="B11" s="317">
        <f t="shared" ref="B11:O24" si="3">+B111</f>
        <v>6.5421810007082318E-2</v>
      </c>
      <c r="C11" s="317">
        <f t="shared" si="3"/>
        <v>7.5265394024557453E-2</v>
      </c>
      <c r="D11" s="317">
        <f t="shared" si="3"/>
        <v>0.12676855587508831</v>
      </c>
      <c r="E11" s="317">
        <f t="shared" si="3"/>
        <v>0.25864788787685772</v>
      </c>
      <c r="F11" s="317">
        <f t="shared" si="3"/>
        <v>0.28218094814342898</v>
      </c>
      <c r="G11" s="317">
        <f t="shared" si="3"/>
        <v>0.28291339239362301</v>
      </c>
      <c r="H11" s="317">
        <f t="shared" si="3"/>
        <v>0.29000954206156299</v>
      </c>
      <c r="I11" s="317">
        <f t="shared" si="3"/>
        <v>0.29235851049931799</v>
      </c>
      <c r="J11" s="317">
        <f t="shared" si="3"/>
        <v>0.29473178613215145</v>
      </c>
      <c r="K11" s="317">
        <f t="shared" si="3"/>
        <v>0.29781204867242628</v>
      </c>
      <c r="L11" s="317">
        <f t="shared" si="3"/>
        <v>0.29768347453003557</v>
      </c>
      <c r="M11" s="317">
        <f t="shared" si="3"/>
        <v>0.29298363345879941</v>
      </c>
      <c r="N11" s="317">
        <f t="shared" si="3"/>
        <v>0.2596901157577115</v>
      </c>
      <c r="O11" s="317">
        <f t="shared" si="3"/>
        <v>0.26243420700778619</v>
      </c>
      <c r="P11" s="126"/>
      <c r="Q11" s="48"/>
    </row>
    <row r="12" spans="1:27">
      <c r="A12" s="49">
        <f t="shared" si="1"/>
        <v>2004</v>
      </c>
      <c r="B12" s="317">
        <f t="shared" si="3"/>
        <v>8.0574164694523165E-2</v>
      </c>
      <c r="C12" s="317">
        <f t="shared" si="3"/>
        <v>7.3327220272851559E-2</v>
      </c>
      <c r="D12" s="317">
        <f t="shared" si="3"/>
        <v>0.13195407385831845</v>
      </c>
      <c r="E12" s="317">
        <f t="shared" si="3"/>
        <v>0.19370730813041359</v>
      </c>
      <c r="F12" s="317">
        <f t="shared" si="3"/>
        <v>0.20390407643292266</v>
      </c>
      <c r="G12" s="317">
        <f t="shared" si="3"/>
        <v>0.20902877494104988</v>
      </c>
      <c r="H12" s="317">
        <f t="shared" si="3"/>
        <v>0.21299644947048582</v>
      </c>
      <c r="I12" s="317">
        <f t="shared" si="3"/>
        <v>0.21723676502083905</v>
      </c>
      <c r="J12" s="317">
        <f t="shared" si="3"/>
        <v>0.21984360620108911</v>
      </c>
      <c r="K12" s="317">
        <f t="shared" si="3"/>
        <v>0.22181319035757424</v>
      </c>
      <c r="L12" s="317">
        <f t="shared" si="3"/>
        <v>0.2190069268349194</v>
      </c>
      <c r="M12" s="317">
        <f t="shared" si="3"/>
        <v>0.18988725666539008</v>
      </c>
      <c r="N12" s="317">
        <f t="shared" si="3"/>
        <v>0.18976802184824523</v>
      </c>
      <c r="O12" s="126"/>
      <c r="P12" s="126"/>
      <c r="Q12" s="48"/>
    </row>
    <row r="13" spans="1:27">
      <c r="A13" s="49">
        <f t="shared" si="1"/>
        <v>2005</v>
      </c>
      <c r="B13" s="317">
        <f t="shared" si="3"/>
        <v>6.8544156347068411E-2</v>
      </c>
      <c r="C13" s="317">
        <f t="shared" si="3"/>
        <v>9.3765511437618784E-2</v>
      </c>
      <c r="D13" s="317">
        <f t="shared" si="3"/>
        <v>0.26903375577458111</v>
      </c>
      <c r="E13" s="317">
        <f t="shared" si="3"/>
        <v>0.38547635532597596</v>
      </c>
      <c r="F13" s="317">
        <f t="shared" si="3"/>
        <v>0.35465524352801653</v>
      </c>
      <c r="G13" s="317">
        <f t="shared" si="3"/>
        <v>0.32261335626559057</v>
      </c>
      <c r="H13" s="317">
        <f t="shared" si="3"/>
        <v>0.30754474688494721</v>
      </c>
      <c r="I13" s="317">
        <f t="shared" si="3"/>
        <v>0.30440476835819158</v>
      </c>
      <c r="J13" s="317">
        <f t="shared" si="3"/>
        <v>0.29328498169568834</v>
      </c>
      <c r="K13" s="317">
        <f t="shared" si="3"/>
        <v>0.28157164859689632</v>
      </c>
      <c r="L13" s="317">
        <f t="shared" si="3"/>
        <v>0.21418733899944561</v>
      </c>
      <c r="M13" s="317">
        <f t="shared" si="3"/>
        <v>0.21874243009343428</v>
      </c>
      <c r="N13" s="126"/>
      <c r="O13" s="126"/>
      <c r="P13" s="126"/>
      <c r="Q13" s="48"/>
    </row>
    <row r="14" spans="1:27">
      <c r="A14" s="49">
        <f t="shared" si="1"/>
        <v>2006</v>
      </c>
      <c r="B14" s="317">
        <f t="shared" si="3"/>
        <v>6.262905822461351E-2</v>
      </c>
      <c r="C14" s="317">
        <f t="shared" si="3"/>
        <v>0.14649980794754236</v>
      </c>
      <c r="D14" s="317">
        <f t="shared" si="3"/>
        <v>0.20283831592345644</v>
      </c>
      <c r="E14" s="317">
        <f t="shared" si="3"/>
        <v>0.26245691568000312</v>
      </c>
      <c r="F14" s="317">
        <f t="shared" si="3"/>
        <v>0.30780199820448428</v>
      </c>
      <c r="G14" s="317">
        <f t="shared" si="3"/>
        <v>0.27243863043465311</v>
      </c>
      <c r="H14" s="317">
        <f t="shared" si="3"/>
        <v>0.26458737321785986</v>
      </c>
      <c r="I14" s="317">
        <f t="shared" si="3"/>
        <v>0.2611905106628194</v>
      </c>
      <c r="J14" s="317">
        <f t="shared" si="3"/>
        <v>0.24670714693312373</v>
      </c>
      <c r="K14" s="317">
        <f t="shared" si="3"/>
        <v>0.24273021401532774</v>
      </c>
      <c r="L14" s="317">
        <f t="shared" si="3"/>
        <v>0.22025091774508193</v>
      </c>
      <c r="M14" s="126"/>
      <c r="N14" s="126"/>
      <c r="O14" s="126"/>
      <c r="P14" s="126"/>
      <c r="Q14" s="48"/>
    </row>
    <row r="15" spans="1:27">
      <c r="A15" s="49">
        <f t="shared" si="1"/>
        <v>2007</v>
      </c>
      <c r="B15" s="317">
        <f t="shared" si="3"/>
        <v>0.10295015174021616</v>
      </c>
      <c r="C15" s="317">
        <f t="shared" si="3"/>
        <v>0.27315349160266661</v>
      </c>
      <c r="D15" s="317">
        <f t="shared" si="3"/>
        <v>0.44453502692057811</v>
      </c>
      <c r="E15" s="317">
        <f t="shared" si="3"/>
        <v>0.57284661114998658</v>
      </c>
      <c r="F15" s="317">
        <f t="shared" si="3"/>
        <v>0.49679822599036688</v>
      </c>
      <c r="G15" s="317">
        <f t="shared" si="3"/>
        <v>0.46581303454461587</v>
      </c>
      <c r="H15" s="317">
        <f t="shared" si="3"/>
        <v>0.46309159928938393</v>
      </c>
      <c r="I15" s="317">
        <f t="shared" si="3"/>
        <v>0.42287445612263358</v>
      </c>
      <c r="J15" s="317">
        <f t="shared" si="3"/>
        <v>0.37234336955500918</v>
      </c>
      <c r="K15" s="317">
        <f t="shared" si="3"/>
        <v>0.38312201040520227</v>
      </c>
      <c r="L15" s="126"/>
      <c r="M15" s="126"/>
      <c r="N15" s="126"/>
      <c r="O15" s="126"/>
      <c r="P15" s="126"/>
    </row>
    <row r="16" spans="1:27">
      <c r="A16" s="49">
        <f t="shared" si="1"/>
        <v>2008</v>
      </c>
      <c r="B16" s="317">
        <f t="shared" si="3"/>
        <v>0.13555075365686861</v>
      </c>
      <c r="C16" s="317">
        <f t="shared" si="3"/>
        <v>0.24766294742526179</v>
      </c>
      <c r="D16" s="317">
        <f t="shared" si="3"/>
        <v>0.43028635909013691</v>
      </c>
      <c r="E16" s="317">
        <f t="shared" si="3"/>
        <v>0.55553335136347815</v>
      </c>
      <c r="F16" s="317">
        <f t="shared" si="3"/>
        <v>0.72035276317141061</v>
      </c>
      <c r="G16" s="317">
        <f t="shared" si="3"/>
        <v>0.69420390841103341</v>
      </c>
      <c r="H16" s="317">
        <f t="shared" si="3"/>
        <v>0.66049022268668089</v>
      </c>
      <c r="I16" s="317">
        <f t="shared" si="3"/>
        <v>0.56627618816412162</v>
      </c>
      <c r="J16" s="317">
        <f t="shared" si="3"/>
        <v>0.55403284670948127</v>
      </c>
      <c r="K16" s="126"/>
      <c r="L16" s="126"/>
      <c r="M16" s="126"/>
      <c r="N16" s="126"/>
      <c r="O16" s="126"/>
      <c r="P16" s="126"/>
    </row>
    <row r="17" spans="1:16">
      <c r="A17" s="49">
        <f t="shared" si="1"/>
        <v>2009</v>
      </c>
      <c r="B17" s="317">
        <f t="shared" si="3"/>
        <v>2.7837519824695862E-2</v>
      </c>
      <c r="C17" s="317">
        <f t="shared" si="3"/>
        <v>5.7112259364528163E-2</v>
      </c>
      <c r="D17" s="317">
        <f t="shared" si="3"/>
        <v>0.20042852806278991</v>
      </c>
      <c r="E17" s="317">
        <f t="shared" si="3"/>
        <v>0.44810055600845639</v>
      </c>
      <c r="F17" s="317">
        <f t="shared" si="3"/>
        <v>0.48293975884583612</v>
      </c>
      <c r="G17" s="317">
        <f t="shared" si="3"/>
        <v>0.46390495759129369</v>
      </c>
      <c r="H17" s="317">
        <f t="shared" si="3"/>
        <v>0.45381419166327591</v>
      </c>
      <c r="I17" s="317">
        <f t="shared" si="3"/>
        <v>0.45719068155080067</v>
      </c>
      <c r="J17" s="126"/>
      <c r="K17" s="126"/>
      <c r="L17" s="126"/>
      <c r="M17" s="126"/>
      <c r="N17" s="126"/>
      <c r="O17" s="126"/>
      <c r="P17" s="126"/>
    </row>
    <row r="18" spans="1:16">
      <c r="A18" s="49">
        <f t="shared" si="1"/>
        <v>2010</v>
      </c>
      <c r="B18" s="317">
        <f t="shared" si="3"/>
        <v>7.5533848365721856E-2</v>
      </c>
      <c r="C18" s="317">
        <f t="shared" si="3"/>
        <v>0.13518023454457898</v>
      </c>
      <c r="D18" s="317">
        <f t="shared" si="3"/>
        <v>0.2824984466179345</v>
      </c>
      <c r="E18" s="317">
        <f t="shared" si="3"/>
        <v>0.27888498475221934</v>
      </c>
      <c r="F18" s="317">
        <f t="shared" si="3"/>
        <v>0.34448586344273024</v>
      </c>
      <c r="G18" s="317">
        <f t="shared" si="3"/>
        <v>0.33704373011144395</v>
      </c>
      <c r="H18" s="317">
        <f t="shared" si="3"/>
        <v>0.33398214741752885</v>
      </c>
      <c r="I18" s="126"/>
      <c r="J18" s="126"/>
      <c r="K18" s="126"/>
      <c r="L18" s="126"/>
      <c r="M18" s="126"/>
      <c r="N18" s="126"/>
      <c r="O18" s="126"/>
      <c r="P18" s="126"/>
    </row>
    <row r="19" spans="1:16">
      <c r="A19" s="49">
        <f t="shared" si="1"/>
        <v>2011</v>
      </c>
      <c r="B19" s="317">
        <f t="shared" si="3"/>
        <v>0.11007682563135797</v>
      </c>
      <c r="C19" s="317">
        <f t="shared" si="3"/>
        <v>0.10097011471826625</v>
      </c>
      <c r="D19" s="317">
        <f t="shared" si="3"/>
        <v>0.25499782974537721</v>
      </c>
      <c r="E19" s="317">
        <f t="shared" si="3"/>
        <v>0.26913524839768044</v>
      </c>
      <c r="F19" s="317">
        <f t="shared" si="3"/>
        <v>0.17455895387436768</v>
      </c>
      <c r="G19" s="317">
        <f t="shared" si="3"/>
        <v>0.15998731558204765</v>
      </c>
      <c r="H19" s="126"/>
      <c r="I19" s="126"/>
      <c r="J19" s="126"/>
      <c r="K19" s="126"/>
      <c r="L19" s="126"/>
      <c r="M19" s="126"/>
      <c r="N19" s="126"/>
      <c r="O19" s="126"/>
      <c r="P19" s="126"/>
    </row>
    <row r="20" spans="1:16">
      <c r="A20" s="49">
        <f t="shared" si="1"/>
        <v>2012</v>
      </c>
      <c r="B20" s="317">
        <f t="shared" si="3"/>
        <v>3.2827254319748506E-2</v>
      </c>
      <c r="C20" s="317">
        <f t="shared" si="3"/>
        <v>6.2692510067892684E-2</v>
      </c>
      <c r="D20" s="317">
        <f t="shared" si="3"/>
        <v>0.20110878937033727</v>
      </c>
      <c r="E20" s="317">
        <f t="shared" si="3"/>
        <v>0.32948092506653498</v>
      </c>
      <c r="F20" s="317">
        <f t="shared" si="3"/>
        <v>0.25275324363947849</v>
      </c>
      <c r="G20" s="126"/>
      <c r="H20" s="126"/>
      <c r="I20" s="126"/>
      <c r="J20" s="126"/>
      <c r="K20" s="126"/>
      <c r="L20" s="126"/>
      <c r="M20" s="126"/>
      <c r="N20" s="126"/>
      <c r="O20" s="126"/>
      <c r="P20" s="126"/>
    </row>
    <row r="21" spans="1:16">
      <c r="A21" s="49">
        <f t="shared" si="1"/>
        <v>2013</v>
      </c>
      <c r="B21" s="317">
        <f t="shared" si="3"/>
        <v>4.9316677421692892E-2</v>
      </c>
      <c r="C21" s="317">
        <f t="shared" si="3"/>
        <v>8.5534068506764954E-2</v>
      </c>
      <c r="D21" s="317">
        <f t="shared" si="3"/>
        <v>0.2147363294721796</v>
      </c>
      <c r="E21" s="317">
        <f t="shared" si="3"/>
        <v>0.41636247840169366</v>
      </c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</row>
    <row r="22" spans="1:16">
      <c r="A22" s="49">
        <f t="shared" si="1"/>
        <v>2014</v>
      </c>
      <c r="B22" s="317">
        <f t="shared" si="3"/>
        <v>0.13295556565360028</v>
      </c>
      <c r="C22" s="317">
        <f t="shared" si="3"/>
        <v>0.21520890412600202</v>
      </c>
      <c r="D22" s="317">
        <f t="shared" si="3"/>
        <v>0.33510473535790664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</row>
    <row r="23" spans="1:16">
      <c r="A23" s="49">
        <f>+A24-1</f>
        <v>2015</v>
      </c>
      <c r="B23" s="317">
        <f t="shared" si="3"/>
        <v>0.21622125999349351</v>
      </c>
      <c r="C23" s="317">
        <f t="shared" si="3"/>
        <v>0.18574767021915187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</row>
    <row r="24" spans="1:16">
      <c r="A24" s="51">
        <f>+EndYear</f>
        <v>2016</v>
      </c>
      <c r="B24" s="317">
        <f t="shared" si="3"/>
        <v>0.11867491152017647</v>
      </c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</row>
    <row r="25" spans="1:16">
      <c r="C25" s="303" t="s">
        <v>156</v>
      </c>
      <c r="D25" s="303"/>
    </row>
    <row r="27" spans="1:16">
      <c r="A27" s="40" t="str">
        <f>'[1]Exercise 12 - Pd to PD factors'!$A$10</f>
        <v>Accident</v>
      </c>
      <c r="B27" s="41" t="s">
        <v>8</v>
      </c>
      <c r="C27" s="41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5"/>
    </row>
    <row r="28" spans="1:16">
      <c r="A28" s="43" t="s">
        <v>5</v>
      </c>
      <c r="B28" s="56" t="s">
        <v>9</v>
      </c>
      <c r="C28" s="56" t="s">
        <v>10</v>
      </c>
      <c r="D28" s="56" t="s">
        <v>11</v>
      </c>
      <c r="E28" s="56" t="s">
        <v>12</v>
      </c>
      <c r="F28" s="56" t="s">
        <v>13</v>
      </c>
      <c r="G28" s="56" t="s">
        <v>14</v>
      </c>
      <c r="H28" s="56" t="s">
        <v>15</v>
      </c>
      <c r="I28" s="56" t="s">
        <v>16</v>
      </c>
      <c r="J28" s="56" t="s">
        <v>17</v>
      </c>
      <c r="K28" s="56" t="s">
        <v>18</v>
      </c>
      <c r="L28" s="56" t="s">
        <v>19</v>
      </c>
      <c r="M28" s="56" t="s">
        <v>20</v>
      </c>
      <c r="N28" s="56" t="s">
        <v>21</v>
      </c>
      <c r="O28" s="56" t="s">
        <v>22</v>
      </c>
      <c r="P28" s="56" t="s">
        <v>23</v>
      </c>
    </row>
    <row r="29" spans="1:16">
      <c r="A29" s="49"/>
    </row>
    <row r="30" spans="1:16">
      <c r="A30" s="49">
        <f t="shared" ref="A30:A43" si="4">+A11</f>
        <v>2003</v>
      </c>
      <c r="B30" s="318">
        <f>IF(B10="","",ROUND(C10/B10,3))</f>
        <v>1.361</v>
      </c>
      <c r="C30" s="318">
        <f t="shared" ref="C30:O30" si="5">IF(C10="","",ROUND(D10/C10,3))</f>
        <v>1.946</v>
      </c>
      <c r="D30" s="318">
        <f t="shared" si="5"/>
        <v>1.4830000000000001</v>
      </c>
      <c r="E30" s="318">
        <f t="shared" si="5"/>
        <v>1.028</v>
      </c>
      <c r="F30" s="318">
        <f t="shared" si="5"/>
        <v>0.98199999999999998</v>
      </c>
      <c r="G30" s="318">
        <f t="shared" si="5"/>
        <v>0.997</v>
      </c>
      <c r="H30" s="318">
        <f t="shared" si="5"/>
        <v>1.0029999999999999</v>
      </c>
      <c r="I30" s="318">
        <f t="shared" si="5"/>
        <v>0.99299999999999999</v>
      </c>
      <c r="J30" s="318">
        <f t="shared" si="5"/>
        <v>0.99399999999999999</v>
      </c>
      <c r="K30" s="318">
        <f t="shared" si="5"/>
        <v>0.90200000000000002</v>
      </c>
      <c r="L30" s="318">
        <f t="shared" si="5"/>
        <v>0.95399999999999996</v>
      </c>
      <c r="M30" s="318">
        <f t="shared" si="5"/>
        <v>1</v>
      </c>
      <c r="N30" s="318">
        <f t="shared" si="5"/>
        <v>0.99</v>
      </c>
      <c r="O30" s="318">
        <f t="shared" si="5"/>
        <v>1</v>
      </c>
    </row>
    <row r="31" spans="1:16">
      <c r="A31" s="49">
        <f t="shared" si="4"/>
        <v>2004</v>
      </c>
      <c r="B31" s="319">
        <f t="shared" ref="B31:N31" si="6">IF(B11="","",ROUND(C11/B11,3))</f>
        <v>1.1499999999999999</v>
      </c>
      <c r="C31" s="319">
        <f t="shared" si="6"/>
        <v>1.6839999999999999</v>
      </c>
      <c r="D31" s="319">
        <f t="shared" si="6"/>
        <v>2.04</v>
      </c>
      <c r="E31" s="319">
        <f t="shared" si="6"/>
        <v>1.091</v>
      </c>
      <c r="F31" s="319">
        <f t="shared" si="6"/>
        <v>1.0029999999999999</v>
      </c>
      <c r="G31" s="319">
        <f t="shared" si="6"/>
        <v>1.0249999999999999</v>
      </c>
      <c r="H31" s="319">
        <f t="shared" si="6"/>
        <v>1.008</v>
      </c>
      <c r="I31" s="319">
        <f t="shared" si="6"/>
        <v>1.008</v>
      </c>
      <c r="J31" s="319">
        <f t="shared" si="6"/>
        <v>1.01</v>
      </c>
      <c r="K31" s="319">
        <f t="shared" si="6"/>
        <v>1</v>
      </c>
      <c r="L31" s="319">
        <f t="shared" si="6"/>
        <v>0.98399999999999999</v>
      </c>
      <c r="M31" s="319">
        <f t="shared" si="6"/>
        <v>0.88600000000000001</v>
      </c>
      <c r="N31" s="319">
        <f t="shared" si="6"/>
        <v>1.0109999999999999</v>
      </c>
      <c r="O31" s="126"/>
    </row>
    <row r="32" spans="1:16">
      <c r="A32" s="49">
        <f t="shared" si="4"/>
        <v>2005</v>
      </c>
      <c r="B32" s="319">
        <f t="shared" ref="B32:M32" si="7">IF(B12="","",ROUND(C12/B12,3))</f>
        <v>0.91</v>
      </c>
      <c r="C32" s="319">
        <f t="shared" si="7"/>
        <v>1.8</v>
      </c>
      <c r="D32" s="319">
        <f t="shared" si="7"/>
        <v>1.468</v>
      </c>
      <c r="E32" s="319">
        <f t="shared" si="7"/>
        <v>1.0529999999999999</v>
      </c>
      <c r="F32" s="319">
        <f t="shared" si="7"/>
        <v>1.0249999999999999</v>
      </c>
      <c r="G32" s="319">
        <f t="shared" si="7"/>
        <v>1.0189999999999999</v>
      </c>
      <c r="H32" s="319">
        <f t="shared" si="7"/>
        <v>1.02</v>
      </c>
      <c r="I32" s="319">
        <f t="shared" si="7"/>
        <v>1.012</v>
      </c>
      <c r="J32" s="319">
        <f t="shared" si="7"/>
        <v>1.0089999999999999</v>
      </c>
      <c r="K32" s="319">
        <f t="shared" si="7"/>
        <v>0.98699999999999999</v>
      </c>
      <c r="L32" s="319">
        <f t="shared" si="7"/>
        <v>0.86699999999999999</v>
      </c>
      <c r="M32" s="319">
        <f t="shared" si="7"/>
        <v>0.999</v>
      </c>
      <c r="N32" s="126"/>
      <c r="O32" s="126"/>
    </row>
    <row r="33" spans="1:32">
      <c r="A33" s="49">
        <f t="shared" si="4"/>
        <v>2006</v>
      </c>
      <c r="B33" s="319">
        <f t="shared" ref="B33:L33" si="8">IF(B13="","",ROUND(C13/B13,3))</f>
        <v>1.3680000000000001</v>
      </c>
      <c r="C33" s="319">
        <f t="shared" si="8"/>
        <v>2.8690000000000002</v>
      </c>
      <c r="D33" s="319">
        <f t="shared" si="8"/>
        <v>1.4330000000000001</v>
      </c>
      <c r="E33" s="319">
        <f t="shared" si="8"/>
        <v>0.92</v>
      </c>
      <c r="F33" s="319">
        <f t="shared" si="8"/>
        <v>0.91</v>
      </c>
      <c r="G33" s="319">
        <f t="shared" si="8"/>
        <v>0.95299999999999996</v>
      </c>
      <c r="H33" s="319">
        <f t="shared" si="8"/>
        <v>0.99</v>
      </c>
      <c r="I33" s="319">
        <f t="shared" si="8"/>
        <v>0.96299999999999997</v>
      </c>
      <c r="J33" s="319">
        <f t="shared" si="8"/>
        <v>0.96</v>
      </c>
      <c r="K33" s="319">
        <f t="shared" si="8"/>
        <v>0.76100000000000001</v>
      </c>
      <c r="L33" s="319">
        <f t="shared" si="8"/>
        <v>1.0209999999999999</v>
      </c>
      <c r="M33" s="126"/>
      <c r="N33" s="126"/>
      <c r="O33" s="126"/>
    </row>
    <row r="34" spans="1:32">
      <c r="A34" s="49">
        <f t="shared" si="4"/>
        <v>2007</v>
      </c>
      <c r="B34" s="319">
        <f t="shared" ref="B34:K34" si="9">IF(B14="","",ROUND(C14/B14,3))</f>
        <v>2.339</v>
      </c>
      <c r="C34" s="319">
        <f t="shared" si="9"/>
        <v>1.385</v>
      </c>
      <c r="D34" s="319">
        <f t="shared" si="9"/>
        <v>1.294</v>
      </c>
      <c r="E34" s="319">
        <f t="shared" si="9"/>
        <v>1.173</v>
      </c>
      <c r="F34" s="319">
        <f t="shared" si="9"/>
        <v>0.88500000000000001</v>
      </c>
      <c r="G34" s="319">
        <f t="shared" si="9"/>
        <v>0.97099999999999997</v>
      </c>
      <c r="H34" s="319">
        <f t="shared" si="9"/>
        <v>0.98699999999999999</v>
      </c>
      <c r="I34" s="319">
        <f t="shared" si="9"/>
        <v>0.94499999999999995</v>
      </c>
      <c r="J34" s="319">
        <f t="shared" si="9"/>
        <v>0.98399999999999999</v>
      </c>
      <c r="K34" s="319">
        <f t="shared" si="9"/>
        <v>0.90700000000000003</v>
      </c>
      <c r="L34" s="126"/>
      <c r="M34" s="126"/>
      <c r="N34" s="126"/>
      <c r="O34" s="126"/>
    </row>
    <row r="35" spans="1:32">
      <c r="A35" s="49">
        <f t="shared" si="4"/>
        <v>2008</v>
      </c>
      <c r="B35" s="319">
        <f t="shared" ref="B35:J35" si="10">IF(B15="","",ROUND(C15/B15,3))</f>
        <v>2.653</v>
      </c>
      <c r="C35" s="319">
        <f t="shared" si="10"/>
        <v>1.627</v>
      </c>
      <c r="D35" s="319">
        <f t="shared" si="10"/>
        <v>1.2889999999999999</v>
      </c>
      <c r="E35" s="319">
        <f t="shared" si="10"/>
        <v>0.86699999999999999</v>
      </c>
      <c r="F35" s="319">
        <f t="shared" si="10"/>
        <v>0.93799999999999994</v>
      </c>
      <c r="G35" s="319">
        <f t="shared" si="10"/>
        <v>0.99399999999999999</v>
      </c>
      <c r="H35" s="319">
        <f t="shared" si="10"/>
        <v>0.91300000000000003</v>
      </c>
      <c r="I35" s="319">
        <f t="shared" si="10"/>
        <v>0.88100000000000001</v>
      </c>
      <c r="J35" s="319">
        <f t="shared" si="10"/>
        <v>1.0289999999999999</v>
      </c>
      <c r="K35" s="126"/>
      <c r="L35" s="126"/>
      <c r="M35" s="126"/>
      <c r="N35" s="126"/>
      <c r="O35" s="126"/>
    </row>
    <row r="36" spans="1:32">
      <c r="A36" s="49">
        <f t="shared" si="4"/>
        <v>2009</v>
      </c>
      <c r="B36" s="319">
        <f t="shared" ref="B36:I36" si="11">IF(B16="","",ROUND(C16/B16,3))</f>
        <v>1.827</v>
      </c>
      <c r="C36" s="319">
        <f t="shared" si="11"/>
        <v>1.7370000000000001</v>
      </c>
      <c r="D36" s="319">
        <f t="shared" si="11"/>
        <v>1.2909999999999999</v>
      </c>
      <c r="E36" s="319">
        <f t="shared" si="11"/>
        <v>1.2969999999999999</v>
      </c>
      <c r="F36" s="319">
        <f t="shared" si="11"/>
        <v>0.96399999999999997</v>
      </c>
      <c r="G36" s="319">
        <f t="shared" si="11"/>
        <v>0.95099999999999996</v>
      </c>
      <c r="H36" s="319">
        <f t="shared" si="11"/>
        <v>0.85699999999999998</v>
      </c>
      <c r="I36" s="319">
        <f t="shared" si="11"/>
        <v>0.97799999999999998</v>
      </c>
      <c r="J36" s="126"/>
      <c r="K36" s="126"/>
      <c r="L36" s="126"/>
      <c r="M36" s="126"/>
      <c r="N36" s="126"/>
      <c r="O36" s="126"/>
    </row>
    <row r="37" spans="1:32">
      <c r="A37" s="49">
        <f t="shared" si="4"/>
        <v>2010</v>
      </c>
      <c r="B37" s="319">
        <f t="shared" ref="B37:H37" si="12">IF(B17="","",ROUND(C17/B17,3))</f>
        <v>2.052</v>
      </c>
      <c r="C37" s="319">
        <f t="shared" si="12"/>
        <v>3.5089999999999999</v>
      </c>
      <c r="D37" s="319">
        <f t="shared" si="12"/>
        <v>2.2360000000000002</v>
      </c>
      <c r="E37" s="319">
        <f t="shared" si="12"/>
        <v>1.0780000000000001</v>
      </c>
      <c r="F37" s="319">
        <f t="shared" si="12"/>
        <v>0.96099999999999997</v>
      </c>
      <c r="G37" s="319">
        <f t="shared" si="12"/>
        <v>0.97799999999999998</v>
      </c>
      <c r="H37" s="319">
        <f t="shared" si="12"/>
        <v>1.0069999999999999</v>
      </c>
      <c r="I37" s="126"/>
      <c r="J37" s="126"/>
      <c r="K37" s="126"/>
      <c r="L37" s="126"/>
      <c r="M37" s="126"/>
      <c r="N37" s="126"/>
      <c r="O37" s="126"/>
    </row>
    <row r="38" spans="1:32">
      <c r="A38" s="49">
        <f t="shared" si="4"/>
        <v>2011</v>
      </c>
      <c r="B38" s="319">
        <f t="shared" ref="B38:G38" si="13">IF(B18="","",ROUND(C18/B18,3))</f>
        <v>1.79</v>
      </c>
      <c r="C38" s="319">
        <f t="shared" si="13"/>
        <v>2.09</v>
      </c>
      <c r="D38" s="319">
        <f t="shared" si="13"/>
        <v>0.98699999999999999</v>
      </c>
      <c r="E38" s="319">
        <f t="shared" si="13"/>
        <v>1.2350000000000001</v>
      </c>
      <c r="F38" s="319">
        <f t="shared" si="13"/>
        <v>0.97799999999999998</v>
      </c>
      <c r="G38" s="319">
        <f t="shared" si="13"/>
        <v>0.99099999999999999</v>
      </c>
      <c r="H38" s="126"/>
      <c r="I38" s="126"/>
      <c r="J38" s="126"/>
      <c r="K38" s="126"/>
      <c r="L38" s="126"/>
      <c r="M38" s="126"/>
      <c r="N38" s="126"/>
      <c r="O38" s="126"/>
    </row>
    <row r="39" spans="1:32">
      <c r="A39" s="49">
        <f t="shared" si="4"/>
        <v>2012</v>
      </c>
      <c r="B39" s="319">
        <f t="shared" ref="B39:F39" si="14">IF(B19="","",ROUND(C19/B19,3))</f>
        <v>0.91700000000000004</v>
      </c>
      <c r="C39" s="319">
        <f t="shared" si="14"/>
        <v>2.5249999999999999</v>
      </c>
      <c r="D39" s="319">
        <f t="shared" si="14"/>
        <v>1.0549999999999999</v>
      </c>
      <c r="E39" s="319">
        <f t="shared" si="14"/>
        <v>0.64900000000000002</v>
      </c>
      <c r="F39" s="319">
        <f t="shared" si="14"/>
        <v>0.91700000000000004</v>
      </c>
      <c r="G39" s="126"/>
      <c r="H39" s="126"/>
      <c r="I39" s="126"/>
      <c r="J39" s="126"/>
      <c r="K39" s="126"/>
      <c r="L39" s="126"/>
      <c r="M39" s="126"/>
      <c r="N39" s="126"/>
      <c r="O39" s="126"/>
    </row>
    <row r="40" spans="1:32">
      <c r="A40" s="49">
        <f t="shared" si="4"/>
        <v>2013</v>
      </c>
      <c r="B40" s="319">
        <f>IF(B20="","",ROUND(C20/B20,3))</f>
        <v>1.91</v>
      </c>
      <c r="C40" s="319">
        <f t="shared" ref="C40:E40" si="15">IF(C20="","",ROUND(D20/C20,3))</f>
        <v>3.2080000000000002</v>
      </c>
      <c r="D40" s="319">
        <f t="shared" si="15"/>
        <v>1.6379999999999999</v>
      </c>
      <c r="E40" s="319">
        <f t="shared" si="15"/>
        <v>0.76700000000000002</v>
      </c>
      <c r="F40" s="126"/>
      <c r="G40" s="126"/>
      <c r="H40" s="126"/>
      <c r="I40" s="126"/>
      <c r="J40" s="126"/>
      <c r="K40" s="126"/>
      <c r="L40" s="126"/>
      <c r="M40" s="126"/>
      <c r="N40" s="126"/>
      <c r="O40" s="126"/>
    </row>
    <row r="41" spans="1:32">
      <c r="A41" s="49">
        <f t="shared" si="4"/>
        <v>2014</v>
      </c>
      <c r="B41" s="319">
        <f t="shared" ref="B41:D41" si="16">IF(B21="","",ROUND(C21/B21,3))</f>
        <v>1.734</v>
      </c>
      <c r="C41" s="319">
        <f t="shared" si="16"/>
        <v>2.5110000000000001</v>
      </c>
      <c r="D41" s="319">
        <f t="shared" si="16"/>
        <v>1.9390000000000001</v>
      </c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</row>
    <row r="42" spans="1:32">
      <c r="A42" s="49">
        <f t="shared" si="4"/>
        <v>2015</v>
      </c>
      <c r="B42" s="319">
        <f t="shared" ref="B42:C42" si="17">IF(B22="","",ROUND(C22/B22,3))</f>
        <v>1.619</v>
      </c>
      <c r="C42" s="319">
        <f t="shared" si="17"/>
        <v>1.5569999999999999</v>
      </c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</row>
    <row r="43" spans="1:32">
      <c r="A43" s="51">
        <f t="shared" si="4"/>
        <v>2016</v>
      </c>
      <c r="B43" s="319">
        <f t="shared" ref="B43" si="18">IF(B23="","",ROUND(C23/B23,3))</f>
        <v>0.85899999999999999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</row>
    <row r="44" spans="1:32">
      <c r="C44" s="304" t="s">
        <v>157</v>
      </c>
      <c r="R44" s="58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</row>
    <row r="45" spans="1:32">
      <c r="A45" s="59" t="s">
        <v>24</v>
      </c>
      <c r="R45" s="59"/>
    </row>
    <row r="46" spans="1:32">
      <c r="A46" s="59" t="s">
        <v>25</v>
      </c>
      <c r="B46" s="336"/>
      <c r="C46" s="336"/>
      <c r="D46" s="336"/>
      <c r="E46" s="53">
        <f>+'Exercise 12 - DCC Pd Pd LDFs'!E49</f>
        <v>0.88400000000000001</v>
      </c>
      <c r="F46" s="53">
        <f>+'Exercise 12 - DCC Pd Pd LDFs'!F49</f>
        <v>0.95199999999999996</v>
      </c>
      <c r="G46" s="53">
        <f>+'Exercise 12 - DCC Pd Pd LDFs'!G49</f>
        <v>0.97299999999999998</v>
      </c>
      <c r="H46" s="53">
        <f>+'Exercise 12 - DCC Pd Pd LDFs'!H49</f>
        <v>0.92600000000000005</v>
      </c>
      <c r="I46" s="53">
        <f>+'Exercise 12 - DCC Pd Pd LDFs'!I49</f>
        <v>0.93500000000000005</v>
      </c>
      <c r="J46" s="53">
        <f>+'Exercise 12 - DCC Pd Pd LDFs'!J49</f>
        <v>0.99099999999999999</v>
      </c>
      <c r="K46" s="53">
        <f>+'Exercise 12 - DCC Pd Pd LDFs'!K49</f>
        <v>0.88500000000000001</v>
      </c>
      <c r="L46" s="53">
        <f>+'Exercise 12 - DCC Pd Pd LDFs'!L49</f>
        <v>0.95699999999999996</v>
      </c>
      <c r="M46" s="53">
        <f>+'Exercise 12 - DCC Pd Pd LDFs'!M49</f>
        <v>0.96199999999999997</v>
      </c>
      <c r="N46" s="53"/>
      <c r="O46" s="53"/>
      <c r="AF46" s="53"/>
    </row>
    <row r="47" spans="1:32">
      <c r="A47" s="59" t="s">
        <v>26</v>
      </c>
      <c r="B47" s="336"/>
      <c r="C47" s="336"/>
      <c r="D47" s="336"/>
      <c r="E47" s="53">
        <f>+'Exercise 12 - DCC Pd Pd LDFs'!E50</f>
        <v>1.0049999999999999</v>
      </c>
      <c r="F47" s="53">
        <f>+'Exercise 12 - DCC Pd Pd LDFs'!F50</f>
        <v>0.95199999999999996</v>
      </c>
      <c r="G47" s="53">
        <f>+'Exercise 12 - DCC Pd Pd LDFs'!G50</f>
        <v>0.97699999999999998</v>
      </c>
      <c r="H47" s="53">
        <f>+'Exercise 12 - DCC Pd Pd LDFs'!H50</f>
        <v>0.95099999999999996</v>
      </c>
      <c r="I47" s="53">
        <f>+'Exercise 12 - DCC Pd Pd LDFs'!I50</f>
        <v>0.95599999999999996</v>
      </c>
      <c r="J47" s="53">
        <f>+'Exercise 12 - DCC Pd Pd LDFs'!J50</f>
        <v>0.998</v>
      </c>
      <c r="K47" s="53">
        <f>+'Exercise 12 - DCC Pd Pd LDFs'!K50</f>
        <v>0.91100000000000003</v>
      </c>
      <c r="L47" s="53"/>
      <c r="M47" s="53"/>
      <c r="N47" s="53"/>
      <c r="O47" s="53"/>
      <c r="AF47" s="53"/>
    </row>
    <row r="48" spans="1:32">
      <c r="A48" s="59" t="s">
        <v>27</v>
      </c>
      <c r="B48" s="336"/>
      <c r="C48" s="336"/>
      <c r="D48" s="336"/>
      <c r="E48" s="53">
        <f>+'Exercise 12 - DCC Pd Pd LDFs'!E51</f>
        <v>1.0269999999999999</v>
      </c>
      <c r="F48" s="53">
        <f>+'Exercise 12 - DCC Pd Pd LDFs'!F51</f>
        <v>0.95399999999999996</v>
      </c>
      <c r="G48" s="53">
        <f>+'Exercise 12 - DCC Pd Pd LDFs'!G51</f>
        <v>0.98</v>
      </c>
      <c r="H48" s="53">
        <f>+'Exercise 12 - DCC Pd Pd LDFs'!H51</f>
        <v>0.96299999999999997</v>
      </c>
      <c r="I48" s="53">
        <f>+'Exercise 12 - DCC Pd Pd LDFs'!I51</f>
        <v>0.96199999999999997</v>
      </c>
      <c r="J48" s="53">
        <f>+'Exercise 12 - DCC Pd Pd LDFs'!J51</f>
        <v>1.0009999999999999</v>
      </c>
      <c r="K48" s="53">
        <f>+'Exercise 12 - DCC Pd Pd LDFs'!K51</f>
        <v>0.93200000000000005</v>
      </c>
      <c r="L48" s="53"/>
      <c r="M48" s="53"/>
      <c r="N48" s="53"/>
      <c r="O48" s="53"/>
      <c r="AF48" s="53"/>
    </row>
    <row r="49" spans="1:32">
      <c r="A49" s="60" t="s">
        <v>28</v>
      </c>
      <c r="B49" s="336"/>
      <c r="C49" s="336"/>
      <c r="D49" s="336"/>
      <c r="E49" s="53">
        <f>+'Exercise 12 - DCC Pd Pd LDFs'!E52</f>
        <v>1.014</v>
      </c>
      <c r="F49" s="53">
        <f>+'Exercise 12 - DCC Pd Pd LDFs'!F52</f>
        <v>0.95599999999999996</v>
      </c>
      <c r="G49" s="53">
        <f>+'Exercise 12 - DCC Pd Pd LDFs'!G52</f>
        <v>0.98699999999999999</v>
      </c>
      <c r="H49" s="53">
        <f>+'Exercise 12 - DCC Pd Pd LDFs'!H52</f>
        <v>0.97299999999999998</v>
      </c>
      <c r="I49" s="53">
        <f>+'Exercise 12 - DCC Pd Pd LDFs'!I52</f>
        <v>0.96899999999999997</v>
      </c>
      <c r="J49" s="53">
        <f>+'Exercise 12 - DCC Pd Pd LDFs'!J52</f>
        <v>0.998</v>
      </c>
      <c r="K49" s="53">
        <f>+'Exercise 12 - DCC Pd Pd LDFs'!K52</f>
        <v>0.91100000000000003</v>
      </c>
      <c r="L49" s="53">
        <f>+'Exercise 12 - DCC Pd Pd LDFs'!L52</f>
        <v>0.95699999999999996</v>
      </c>
      <c r="M49" s="53">
        <f>+'Exercise 12 - DCC Pd Pd LDFs'!M52</f>
        <v>0.96199999999999997</v>
      </c>
      <c r="N49" s="53">
        <f>+'Exercise 12 - DCC Pd Pd LDFs'!N52</f>
        <v>1.0009999999999999</v>
      </c>
      <c r="O49" s="53">
        <f>+'Exercise 12 - DCC Pd Pd LDFs'!O52</f>
        <v>1</v>
      </c>
      <c r="AF49" s="53"/>
    </row>
    <row r="50" spans="1:32">
      <c r="B50" s="337"/>
      <c r="C50" s="337"/>
      <c r="D50" s="337"/>
      <c r="E50" s="45"/>
      <c r="F50" s="53"/>
      <c r="G50" s="53"/>
      <c r="H50" s="53"/>
      <c r="I50" s="53"/>
      <c r="J50" s="53"/>
      <c r="K50" s="53"/>
      <c r="L50" s="53"/>
      <c r="M50" s="53"/>
      <c r="N50" s="53"/>
      <c r="O50" s="53"/>
      <c r="AF50" s="53"/>
    </row>
    <row r="51" spans="1:32">
      <c r="A51" s="59" t="s">
        <v>29</v>
      </c>
      <c r="B51" s="336"/>
      <c r="C51" s="336"/>
      <c r="D51" s="336"/>
      <c r="E51" s="53">
        <f>+'Exercise 12 - DCC Pd Pd LDFs'!E54</f>
        <v>0.88</v>
      </c>
      <c r="F51" s="53">
        <f>+'Exercise 12 - DCC Pd Pd LDFs'!F54</f>
        <v>0.95899999999999996</v>
      </c>
      <c r="G51" s="53">
        <f>+'Exercise 12 - DCC Pd Pd LDFs'!G54</f>
        <v>0.96899999999999997</v>
      </c>
      <c r="H51" s="53">
        <f>+'Exercise 12 - DCC Pd Pd LDFs'!H54</f>
        <v>0.91700000000000004</v>
      </c>
      <c r="I51" s="53">
        <f>+'Exercise 12 - DCC Pd Pd LDFs'!I54</f>
        <v>0.93799999999999994</v>
      </c>
      <c r="J51" s="53">
        <f>+'Exercise 12 - DCC Pd Pd LDFs'!J54</f>
        <v>0.995</v>
      </c>
      <c r="K51" s="53">
        <f>+'Exercise 12 - DCC Pd Pd LDFs'!K54</f>
        <v>0.876</v>
      </c>
      <c r="L51" s="53">
        <f>+'Exercise 12 - DCC Pd Pd LDFs'!L54</f>
        <v>0.96</v>
      </c>
      <c r="M51" s="53">
        <f>+'Exercise 12 - DCC Pd Pd LDFs'!M54</f>
        <v>0.94899999999999995</v>
      </c>
      <c r="N51" s="53"/>
      <c r="O51" s="53"/>
      <c r="AF51" s="53"/>
    </row>
    <row r="52" spans="1:32">
      <c r="A52" s="59" t="s">
        <v>30</v>
      </c>
      <c r="B52" s="336"/>
      <c r="C52" s="336"/>
      <c r="D52" s="336"/>
      <c r="E52" s="53">
        <f>+'Exercise 12 - DCC Pd Pd LDFs'!E55</f>
        <v>1.05</v>
      </c>
      <c r="F52" s="53">
        <f>+'Exercise 12 - DCC Pd Pd LDFs'!F55</f>
        <v>0.95599999999999996</v>
      </c>
      <c r="G52" s="53">
        <f>+'Exercise 12 - DCC Pd Pd LDFs'!G55</f>
        <v>0.97399999999999998</v>
      </c>
      <c r="H52" s="53">
        <f>+'Exercise 12 - DCC Pd Pd LDFs'!H55</f>
        <v>0.93600000000000005</v>
      </c>
      <c r="I52" s="53">
        <f>+'Exercise 12 - DCC Pd Pd LDFs'!I55</f>
        <v>0.95199999999999996</v>
      </c>
      <c r="J52" s="53">
        <f>+'Exercise 12 - DCC Pd Pd LDFs'!J55</f>
        <v>1</v>
      </c>
      <c r="K52" s="53">
        <f>+'Exercise 12 - DCC Pd Pd LDFs'!K55</f>
        <v>0.91</v>
      </c>
      <c r="L52" s="53"/>
      <c r="M52" s="53"/>
      <c r="N52" s="53"/>
      <c r="O52" s="53"/>
      <c r="AF52" s="53"/>
    </row>
    <row r="53" spans="1:32">
      <c r="A53" s="60" t="s">
        <v>28</v>
      </c>
      <c r="B53" s="336"/>
      <c r="C53" s="336"/>
      <c r="D53" s="336"/>
      <c r="E53" s="53">
        <f>+'Exercise 12 - DCC Pd Pd LDFs'!E56</f>
        <v>1.0189999999999999</v>
      </c>
      <c r="F53" s="53">
        <f>+'Exercise 12 - DCC Pd Pd LDFs'!F56</f>
        <v>0.95399999999999996</v>
      </c>
      <c r="G53" s="53">
        <f>+'Exercise 12 - DCC Pd Pd LDFs'!G56</f>
        <v>0.98099999999999998</v>
      </c>
      <c r="H53" s="53">
        <f>+'Exercise 12 - DCC Pd Pd LDFs'!H56</f>
        <v>0.95399999999999996</v>
      </c>
      <c r="I53" s="53">
        <f>+'Exercise 12 - DCC Pd Pd LDFs'!I56</f>
        <v>0.96299999999999997</v>
      </c>
      <c r="J53" s="53">
        <f>+'Exercise 12 - DCC Pd Pd LDFs'!J56</f>
        <v>0.999</v>
      </c>
      <c r="K53" s="53">
        <f>+'Exercise 12 - DCC Pd Pd LDFs'!K56</f>
        <v>0.91</v>
      </c>
      <c r="L53" s="53">
        <f>+'Exercise 12 - DCC Pd Pd LDFs'!L56</f>
        <v>0.95899999999999996</v>
      </c>
      <c r="M53" s="53">
        <f>+'Exercise 12 - DCC Pd Pd LDFs'!M56</f>
        <v>0.94899999999999995</v>
      </c>
      <c r="N53" s="53">
        <f>+'Exercise 12 - DCC Pd Pd LDFs'!N56</f>
        <v>1.002</v>
      </c>
      <c r="O53" s="53">
        <f>+'Exercise 12 - DCC Pd Pd LDFs'!O56</f>
        <v>1</v>
      </c>
      <c r="AF53" s="53"/>
    </row>
    <row r="54" spans="1:32"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8"/>
    </row>
    <row r="55" spans="1:32">
      <c r="C55" s="302" t="s">
        <v>155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</row>
    <row r="56" spans="1:32">
      <c r="B56" s="38"/>
    </row>
    <row r="57" spans="1:32">
      <c r="B57" s="70"/>
      <c r="C57" s="70"/>
      <c r="D57" s="70"/>
      <c r="E57" s="70"/>
      <c r="F57" s="70"/>
      <c r="G57" s="71"/>
      <c r="H57" s="70"/>
      <c r="I57" s="70"/>
      <c r="J57" s="70"/>
      <c r="K57" s="70"/>
      <c r="L57" s="70"/>
      <c r="M57" s="70"/>
      <c r="N57" s="70"/>
      <c r="O57" s="70"/>
    </row>
    <row r="58" spans="1:32">
      <c r="E58" s="45"/>
      <c r="F58" s="45"/>
      <c r="G58" s="72"/>
      <c r="H58" s="45"/>
      <c r="I58" s="45"/>
      <c r="J58" s="45"/>
      <c r="K58" s="45"/>
      <c r="L58" s="45"/>
      <c r="M58" s="45"/>
      <c r="N58" s="45"/>
      <c r="O58" s="45"/>
    </row>
    <row r="63" spans="1:32">
      <c r="A63" s="72"/>
    </row>
    <row r="64" spans="1:32">
      <c r="A64" s="72"/>
    </row>
    <row r="65" spans="1:1">
      <c r="A65" s="72"/>
    </row>
    <row r="67" spans="1:1">
      <c r="A67" s="72"/>
    </row>
    <row r="68" spans="1:1">
      <c r="A68" s="72"/>
    </row>
    <row r="105" spans="1:42">
      <c r="B105" s="37" t="s">
        <v>150</v>
      </c>
    </row>
    <row r="107" spans="1:42">
      <c r="A107" s="66" t="s">
        <v>3</v>
      </c>
      <c r="B107" s="41" t="s">
        <v>4</v>
      </c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2"/>
      <c r="S107" s="3"/>
      <c r="T107" s="3"/>
    </row>
    <row r="108" spans="1:42">
      <c r="A108" s="43" t="s">
        <v>5</v>
      </c>
      <c r="B108" s="44">
        <v>12</v>
      </c>
      <c r="C108" s="44">
        <f t="shared" ref="C108" si="19">B108+12</f>
        <v>24</v>
      </c>
      <c r="D108" s="44">
        <f t="shared" ref="D108" si="20">C108+12</f>
        <v>36</v>
      </c>
      <c r="E108" s="44">
        <f t="shared" ref="E108" si="21">D108+12</f>
        <v>48</v>
      </c>
      <c r="F108" s="44">
        <f t="shared" ref="F108" si="22">E108+12</f>
        <v>60</v>
      </c>
      <c r="G108" s="44">
        <f t="shared" ref="G108" si="23">F108+12</f>
        <v>72</v>
      </c>
      <c r="H108" s="44">
        <f t="shared" ref="H108" si="24">G108+12</f>
        <v>84</v>
      </c>
      <c r="I108" s="44">
        <f t="shared" ref="I108" si="25">H108+12</f>
        <v>96</v>
      </c>
      <c r="J108" s="44">
        <f t="shared" ref="J108" si="26">I108+12</f>
        <v>108</v>
      </c>
      <c r="K108" s="44">
        <f t="shared" ref="K108" si="27">J108+12</f>
        <v>120</v>
      </c>
      <c r="L108" s="44">
        <f t="shared" ref="L108" si="28">K108+12</f>
        <v>132</v>
      </c>
      <c r="M108" s="44">
        <f t="shared" ref="M108" si="29">L108+12</f>
        <v>144</v>
      </c>
      <c r="N108" s="44">
        <f t="shared" ref="N108" si="30">M108+12</f>
        <v>156</v>
      </c>
      <c r="O108" s="44">
        <f t="shared" ref="O108" si="31">N108+12</f>
        <v>168</v>
      </c>
      <c r="P108" s="44">
        <f t="shared" ref="P108" si="32">O108+12</f>
        <v>180</v>
      </c>
      <c r="S108" s="264"/>
      <c r="T108" s="264"/>
    </row>
    <row r="109" spans="1:42">
      <c r="A109" s="40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T109" s="1"/>
    </row>
    <row r="110" spans="1:42">
      <c r="A110" s="49">
        <f t="shared" ref="A110:A122" si="33">+A111-1</f>
        <v>2002</v>
      </c>
      <c r="B110" s="321">
        <f>+'Exercise 6 DCC Paid LDFs'!B13/'Exercise 6 - Paid LDFs'!B10</f>
        <v>5.2970926785254516E-2</v>
      </c>
      <c r="C110" s="129">
        <f>+'Exercise 6 DCC Paid LDFs'!C13/'Exercise 6 - Paid LDFs'!C10</f>
        <v>7.209954497071068E-2</v>
      </c>
      <c r="D110" s="129">
        <f>+'Exercise 6 DCC Paid LDFs'!D13/'Exercise 6 - Paid LDFs'!D10</f>
        <v>0.14033944648615992</v>
      </c>
      <c r="E110" s="129">
        <f>+'Exercise 6 DCC Paid LDFs'!E13/'Exercise 6 - Paid LDFs'!E10</f>
        <v>0.20813569284607897</v>
      </c>
      <c r="F110" s="129">
        <f>+'Exercise 6 DCC Paid LDFs'!F13/'Exercise 6 - Paid LDFs'!F10</f>
        <v>0.21387060300658217</v>
      </c>
      <c r="G110" s="129">
        <f>+'Exercise 6 DCC Paid LDFs'!G13/'Exercise 6 - Paid LDFs'!G10</f>
        <v>0.20998394678853438</v>
      </c>
      <c r="H110" s="129">
        <f>+'Exercise 6 DCC Paid LDFs'!H13/'Exercise 6 - Paid LDFs'!H10</f>
        <v>0.20945803657074438</v>
      </c>
      <c r="I110" s="129">
        <f>+'Exercise 6 DCC Paid LDFs'!I13/'Exercise 6 - Paid LDFs'!I10</f>
        <v>0.2101803446409618</v>
      </c>
      <c r="J110" s="129">
        <f>+'Exercise 6 DCC Paid LDFs'!J13/'Exercise 6 - Paid LDFs'!J10</f>
        <v>0.20868590696981457</v>
      </c>
      <c r="K110" s="129">
        <f>+'Exercise 6 DCC Paid LDFs'!K13/'Exercise 6 - Paid LDFs'!K10</f>
        <v>0.20744391018373259</v>
      </c>
      <c r="L110" s="129">
        <f>+'Exercise 6 DCC Paid LDFs'!L13/'Exercise 6 - Paid LDFs'!L10</f>
        <v>0.1871956297696992</v>
      </c>
      <c r="M110" s="129">
        <f>+'Exercise 6 DCC Paid LDFs'!M13/'Exercise 6 - Paid LDFs'!M10</f>
        <v>0.17864193061346564</v>
      </c>
      <c r="N110" s="129">
        <f>+'Exercise 6 DCC Paid LDFs'!N13/'Exercise 6 - Paid LDFs'!N10</f>
        <v>0.17864193061346564</v>
      </c>
      <c r="O110" s="129">
        <f>+'Exercise 6 DCC Paid LDFs'!O13/'Exercise 6 - Paid LDFs'!O10</f>
        <v>0.17687319862719372</v>
      </c>
      <c r="P110" s="129">
        <f>+'Exercise 6 DCC Paid LDFs'!P13/'Exercise 6 - Paid LDFs'!P10</f>
        <v>0.17687319862719372</v>
      </c>
      <c r="Q110" s="63"/>
      <c r="R110" s="63"/>
      <c r="S110" s="305"/>
      <c r="T110" s="245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</row>
    <row r="111" spans="1:42">
      <c r="A111" s="49">
        <f t="shared" si="33"/>
        <v>2003</v>
      </c>
      <c r="B111" s="129">
        <f>+'Exercise 6 DCC Paid LDFs'!B14/'Exercise 6 - Paid LDFs'!B11</f>
        <v>6.5421810007082318E-2</v>
      </c>
      <c r="C111" s="129">
        <f>+'Exercise 6 DCC Paid LDFs'!C14/'Exercise 6 - Paid LDFs'!C11</f>
        <v>7.5265394024557453E-2</v>
      </c>
      <c r="D111" s="129">
        <f>+'Exercise 6 DCC Paid LDFs'!D14/'Exercise 6 - Paid LDFs'!D11</f>
        <v>0.12676855587508831</v>
      </c>
      <c r="E111" s="129">
        <f>+'Exercise 6 DCC Paid LDFs'!E14/'Exercise 6 - Paid LDFs'!E11</f>
        <v>0.25864788787685772</v>
      </c>
      <c r="F111" s="129">
        <f>+'Exercise 6 DCC Paid LDFs'!F14/'Exercise 6 - Paid LDFs'!F11</f>
        <v>0.28218094814342898</v>
      </c>
      <c r="G111" s="129">
        <f>+'Exercise 6 DCC Paid LDFs'!G14/'Exercise 6 - Paid LDFs'!G11</f>
        <v>0.28291339239362301</v>
      </c>
      <c r="H111" s="129">
        <f>+'Exercise 6 DCC Paid LDFs'!H14/'Exercise 6 - Paid LDFs'!H11</f>
        <v>0.29000954206156299</v>
      </c>
      <c r="I111" s="129">
        <f>+'Exercise 6 DCC Paid LDFs'!I14/'Exercise 6 - Paid LDFs'!I11</f>
        <v>0.29235851049931799</v>
      </c>
      <c r="J111" s="129">
        <f>+'Exercise 6 DCC Paid LDFs'!J14/'Exercise 6 - Paid LDFs'!J11</f>
        <v>0.29473178613215145</v>
      </c>
      <c r="K111" s="129">
        <f>+'Exercise 6 DCC Paid LDFs'!K14/'Exercise 6 - Paid LDFs'!K11</f>
        <v>0.29781204867242628</v>
      </c>
      <c r="L111" s="129">
        <f>+'Exercise 6 DCC Paid LDFs'!L14/'Exercise 6 - Paid LDFs'!L11</f>
        <v>0.29768347453003557</v>
      </c>
      <c r="M111" s="129">
        <f>+'Exercise 6 DCC Paid LDFs'!M14/'Exercise 6 - Paid LDFs'!M11</f>
        <v>0.29298363345879941</v>
      </c>
      <c r="N111" s="129">
        <f>+'Exercise 6 DCC Paid LDFs'!N14/'Exercise 6 - Paid LDFs'!N11</f>
        <v>0.2596901157577115</v>
      </c>
      <c r="O111" s="129">
        <f>+'Exercise 6 DCC Paid LDFs'!O14/'Exercise 6 - Paid LDFs'!O11</f>
        <v>0.26243420700778619</v>
      </c>
      <c r="P111" s="129"/>
      <c r="Q111" s="63"/>
      <c r="R111" s="63"/>
      <c r="S111" s="305"/>
      <c r="T111" s="245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</row>
    <row r="112" spans="1:42">
      <c r="A112" s="49">
        <f t="shared" si="33"/>
        <v>2004</v>
      </c>
      <c r="B112" s="129">
        <f>+'Exercise 6 DCC Paid LDFs'!B15/'Exercise 6 - Paid LDFs'!B12</f>
        <v>8.0574164694523165E-2</v>
      </c>
      <c r="C112" s="129">
        <f>+'Exercise 6 DCC Paid LDFs'!C15/'Exercise 6 - Paid LDFs'!C12</f>
        <v>7.3327220272851559E-2</v>
      </c>
      <c r="D112" s="129">
        <f>+'Exercise 6 DCC Paid LDFs'!D15/'Exercise 6 - Paid LDFs'!D12</f>
        <v>0.13195407385831845</v>
      </c>
      <c r="E112" s="129">
        <f>+'Exercise 6 DCC Paid LDFs'!E15/'Exercise 6 - Paid LDFs'!E12</f>
        <v>0.19370730813041359</v>
      </c>
      <c r="F112" s="129">
        <f>+'Exercise 6 DCC Paid LDFs'!F15/'Exercise 6 - Paid LDFs'!F12</f>
        <v>0.20390407643292266</v>
      </c>
      <c r="G112" s="129">
        <f>+'Exercise 6 DCC Paid LDFs'!G15/'Exercise 6 - Paid LDFs'!G12</f>
        <v>0.20902877494104988</v>
      </c>
      <c r="H112" s="129">
        <f>+'Exercise 6 DCC Paid LDFs'!H15/'Exercise 6 - Paid LDFs'!H12</f>
        <v>0.21299644947048582</v>
      </c>
      <c r="I112" s="129">
        <f>+'Exercise 6 DCC Paid LDFs'!I15/'Exercise 6 - Paid LDFs'!I12</f>
        <v>0.21723676502083905</v>
      </c>
      <c r="J112" s="129">
        <f>+'Exercise 6 DCC Paid LDFs'!J15/'Exercise 6 - Paid LDFs'!J12</f>
        <v>0.21984360620108911</v>
      </c>
      <c r="K112" s="129">
        <f>+'Exercise 6 DCC Paid LDFs'!K15/'Exercise 6 - Paid LDFs'!K12</f>
        <v>0.22181319035757424</v>
      </c>
      <c r="L112" s="129">
        <f>+'Exercise 6 DCC Paid LDFs'!L15/'Exercise 6 - Paid LDFs'!L12</f>
        <v>0.2190069268349194</v>
      </c>
      <c r="M112" s="129">
        <f>+'Exercise 6 DCC Paid LDFs'!M15/'Exercise 6 - Paid LDFs'!M12</f>
        <v>0.18988725666539008</v>
      </c>
      <c r="N112" s="129">
        <f>+'Exercise 6 DCC Paid LDFs'!N15/'Exercise 6 - Paid LDFs'!N12</f>
        <v>0.18976802184824523</v>
      </c>
      <c r="O112" s="129"/>
      <c r="P112" s="129"/>
      <c r="Q112" s="63"/>
      <c r="R112" s="63"/>
      <c r="S112" s="305"/>
      <c r="T112" s="245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</row>
    <row r="113" spans="1:42">
      <c r="A113" s="49">
        <f t="shared" si="33"/>
        <v>2005</v>
      </c>
      <c r="B113" s="129">
        <f>+'Exercise 6 DCC Paid LDFs'!B16/'Exercise 6 - Paid LDFs'!B13</f>
        <v>6.8544156347068411E-2</v>
      </c>
      <c r="C113" s="129">
        <f>+'Exercise 6 DCC Paid LDFs'!C16/'Exercise 6 - Paid LDFs'!C13</f>
        <v>9.3765511437618784E-2</v>
      </c>
      <c r="D113" s="129">
        <f>+'Exercise 6 DCC Paid LDFs'!D16/'Exercise 6 - Paid LDFs'!D13</f>
        <v>0.26903375577458111</v>
      </c>
      <c r="E113" s="129">
        <f>+'Exercise 6 DCC Paid LDFs'!E16/'Exercise 6 - Paid LDFs'!E13</f>
        <v>0.38547635532597596</v>
      </c>
      <c r="F113" s="129">
        <f>+'Exercise 6 DCC Paid LDFs'!F16/'Exercise 6 - Paid LDFs'!F13</f>
        <v>0.35465524352801653</v>
      </c>
      <c r="G113" s="129">
        <f>+'Exercise 6 DCC Paid LDFs'!G16/'Exercise 6 - Paid LDFs'!G13</f>
        <v>0.32261335626559057</v>
      </c>
      <c r="H113" s="129">
        <f>+'Exercise 6 DCC Paid LDFs'!H16/'Exercise 6 - Paid LDFs'!H13</f>
        <v>0.30754474688494721</v>
      </c>
      <c r="I113" s="129">
        <f>+'Exercise 6 DCC Paid LDFs'!I16/'Exercise 6 - Paid LDFs'!I13</f>
        <v>0.30440476835819158</v>
      </c>
      <c r="J113" s="129">
        <f>+'Exercise 6 DCC Paid LDFs'!J16/'Exercise 6 - Paid LDFs'!J13</f>
        <v>0.29328498169568834</v>
      </c>
      <c r="K113" s="129">
        <f>+'Exercise 6 DCC Paid LDFs'!K16/'Exercise 6 - Paid LDFs'!K13</f>
        <v>0.28157164859689632</v>
      </c>
      <c r="L113" s="129">
        <f>+'Exercise 6 DCC Paid LDFs'!L16/'Exercise 6 - Paid LDFs'!L13</f>
        <v>0.21418733899944561</v>
      </c>
      <c r="M113" s="129">
        <f>+'Exercise 6 DCC Paid LDFs'!M16/'Exercise 6 - Paid LDFs'!M13</f>
        <v>0.21874243009343428</v>
      </c>
      <c r="N113" s="129"/>
      <c r="O113" s="129"/>
      <c r="P113" s="129"/>
      <c r="Q113" s="63"/>
      <c r="R113" s="63"/>
      <c r="S113" s="305"/>
      <c r="T113" s="245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</row>
    <row r="114" spans="1:42">
      <c r="A114" s="49">
        <f t="shared" si="33"/>
        <v>2006</v>
      </c>
      <c r="B114" s="129">
        <f>+'Exercise 6 DCC Paid LDFs'!B17/'Exercise 6 - Paid LDFs'!B14</f>
        <v>6.262905822461351E-2</v>
      </c>
      <c r="C114" s="129">
        <f>+'Exercise 6 DCC Paid LDFs'!C17/'Exercise 6 - Paid LDFs'!C14</f>
        <v>0.14649980794754236</v>
      </c>
      <c r="D114" s="129">
        <f>+'Exercise 6 DCC Paid LDFs'!D17/'Exercise 6 - Paid LDFs'!D14</f>
        <v>0.20283831592345644</v>
      </c>
      <c r="E114" s="129">
        <f>+'Exercise 6 DCC Paid LDFs'!E17/'Exercise 6 - Paid LDFs'!E14</f>
        <v>0.26245691568000312</v>
      </c>
      <c r="F114" s="129">
        <f>+'Exercise 6 DCC Paid LDFs'!F17/'Exercise 6 - Paid LDFs'!F14</f>
        <v>0.30780199820448428</v>
      </c>
      <c r="G114" s="129">
        <f>+'Exercise 6 DCC Paid LDFs'!G17/'Exercise 6 - Paid LDFs'!G14</f>
        <v>0.27243863043465311</v>
      </c>
      <c r="H114" s="129">
        <f>+'Exercise 6 DCC Paid LDFs'!H17/'Exercise 6 - Paid LDFs'!H14</f>
        <v>0.26458737321785986</v>
      </c>
      <c r="I114" s="129">
        <f>+'Exercise 6 DCC Paid LDFs'!I17/'Exercise 6 - Paid LDFs'!I14</f>
        <v>0.2611905106628194</v>
      </c>
      <c r="J114" s="129">
        <f>+'Exercise 6 DCC Paid LDFs'!J17/'Exercise 6 - Paid LDFs'!J14</f>
        <v>0.24670714693312373</v>
      </c>
      <c r="K114" s="129">
        <f>+'Exercise 6 DCC Paid LDFs'!K17/'Exercise 6 - Paid LDFs'!K14</f>
        <v>0.24273021401532774</v>
      </c>
      <c r="L114" s="129">
        <f>+'Exercise 6 DCC Paid LDFs'!L17/'Exercise 6 - Paid LDFs'!L14</f>
        <v>0.22025091774508193</v>
      </c>
      <c r="M114" s="129"/>
      <c r="N114" s="129"/>
      <c r="O114" s="129"/>
      <c r="P114" s="129"/>
      <c r="Q114" s="63"/>
      <c r="R114" s="63"/>
      <c r="S114" s="305"/>
      <c r="T114" s="245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</row>
    <row r="115" spans="1:42">
      <c r="A115" s="49">
        <f t="shared" si="33"/>
        <v>2007</v>
      </c>
      <c r="B115" s="129">
        <f>+'Exercise 6 DCC Paid LDFs'!B18/'Exercise 6 - Paid LDFs'!B15</f>
        <v>0.10295015174021616</v>
      </c>
      <c r="C115" s="129">
        <f>+'Exercise 6 DCC Paid LDFs'!C18/'Exercise 6 - Paid LDFs'!C15</f>
        <v>0.27315349160266661</v>
      </c>
      <c r="D115" s="129">
        <f>+'Exercise 6 DCC Paid LDFs'!D18/'Exercise 6 - Paid LDFs'!D15</f>
        <v>0.44453502692057811</v>
      </c>
      <c r="E115" s="129">
        <f>+'Exercise 6 DCC Paid LDFs'!E18/'Exercise 6 - Paid LDFs'!E15</f>
        <v>0.57284661114998658</v>
      </c>
      <c r="F115" s="129">
        <f>+'Exercise 6 DCC Paid LDFs'!F18/'Exercise 6 - Paid LDFs'!F15</f>
        <v>0.49679822599036688</v>
      </c>
      <c r="G115" s="129">
        <f>+'Exercise 6 DCC Paid LDFs'!G18/'Exercise 6 - Paid LDFs'!G15</f>
        <v>0.46581303454461587</v>
      </c>
      <c r="H115" s="129">
        <f>+'Exercise 6 DCC Paid LDFs'!H18/'Exercise 6 - Paid LDFs'!H15</f>
        <v>0.46309159928938393</v>
      </c>
      <c r="I115" s="129">
        <f>+'Exercise 6 DCC Paid LDFs'!I18/'Exercise 6 - Paid LDFs'!I15</f>
        <v>0.42287445612263358</v>
      </c>
      <c r="J115" s="129">
        <f>+'Exercise 6 DCC Paid LDFs'!J18/'Exercise 6 - Paid LDFs'!J15</f>
        <v>0.37234336955500918</v>
      </c>
      <c r="K115" s="129">
        <f>+'Exercise 6 DCC Paid LDFs'!K18/'Exercise 6 - Paid LDFs'!K15</f>
        <v>0.38312201040520227</v>
      </c>
      <c r="L115" s="129"/>
      <c r="M115" s="129"/>
      <c r="N115" s="129"/>
      <c r="O115" s="129"/>
      <c r="P115" s="129"/>
      <c r="Q115" s="63"/>
      <c r="R115" s="63"/>
      <c r="S115" s="305"/>
      <c r="T115" s="245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</row>
    <row r="116" spans="1:42">
      <c r="A116" s="49">
        <f t="shared" si="33"/>
        <v>2008</v>
      </c>
      <c r="B116" s="129">
        <f>+'Exercise 6 DCC Paid LDFs'!B19/'Exercise 6 - Paid LDFs'!B16</f>
        <v>0.13555075365686861</v>
      </c>
      <c r="C116" s="129">
        <f>+'Exercise 6 DCC Paid LDFs'!C19/'Exercise 6 - Paid LDFs'!C16</f>
        <v>0.24766294742526179</v>
      </c>
      <c r="D116" s="129">
        <f>+'Exercise 6 DCC Paid LDFs'!D19/'Exercise 6 - Paid LDFs'!D16</f>
        <v>0.43028635909013691</v>
      </c>
      <c r="E116" s="129">
        <f>+'Exercise 6 DCC Paid LDFs'!E19/'Exercise 6 - Paid LDFs'!E16</f>
        <v>0.55553335136347815</v>
      </c>
      <c r="F116" s="129">
        <f>+'Exercise 6 DCC Paid LDFs'!F19/'Exercise 6 - Paid LDFs'!F16</f>
        <v>0.72035276317141061</v>
      </c>
      <c r="G116" s="129">
        <f>+'Exercise 6 DCC Paid LDFs'!G19/'Exercise 6 - Paid LDFs'!G16</f>
        <v>0.69420390841103341</v>
      </c>
      <c r="H116" s="129">
        <f>+'Exercise 6 DCC Paid LDFs'!H19/'Exercise 6 - Paid LDFs'!H16</f>
        <v>0.66049022268668089</v>
      </c>
      <c r="I116" s="129">
        <f>+'Exercise 6 DCC Paid LDFs'!I19/'Exercise 6 - Paid LDFs'!I16</f>
        <v>0.56627618816412162</v>
      </c>
      <c r="J116" s="129">
        <f>+'Exercise 6 DCC Paid LDFs'!J19/'Exercise 6 - Paid LDFs'!J16</f>
        <v>0.55403284670948127</v>
      </c>
      <c r="K116" s="129"/>
      <c r="L116" s="129"/>
      <c r="M116" s="129"/>
      <c r="N116" s="129"/>
      <c r="O116" s="129"/>
      <c r="P116" s="129"/>
      <c r="Q116" s="63"/>
      <c r="R116" s="63"/>
      <c r="S116" s="305"/>
      <c r="T116" s="245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</row>
    <row r="117" spans="1:42">
      <c r="A117" s="49">
        <f t="shared" si="33"/>
        <v>2009</v>
      </c>
      <c r="B117" s="129">
        <f>+'Exercise 6 DCC Paid LDFs'!B20/'Exercise 6 - Paid LDFs'!B17</f>
        <v>2.7837519824695862E-2</v>
      </c>
      <c r="C117" s="129">
        <f>+'Exercise 6 DCC Paid LDFs'!C20/'Exercise 6 - Paid LDFs'!C17</f>
        <v>5.7112259364528163E-2</v>
      </c>
      <c r="D117" s="129">
        <f>+'Exercise 6 DCC Paid LDFs'!D20/'Exercise 6 - Paid LDFs'!D17</f>
        <v>0.20042852806278991</v>
      </c>
      <c r="E117" s="129">
        <f>+'Exercise 6 DCC Paid LDFs'!E20/'Exercise 6 - Paid LDFs'!E17</f>
        <v>0.44810055600845639</v>
      </c>
      <c r="F117" s="129">
        <f>+'Exercise 6 DCC Paid LDFs'!F20/'Exercise 6 - Paid LDFs'!F17</f>
        <v>0.48293975884583612</v>
      </c>
      <c r="G117" s="129">
        <f>+'Exercise 6 DCC Paid LDFs'!G20/'Exercise 6 - Paid LDFs'!G17</f>
        <v>0.46390495759129369</v>
      </c>
      <c r="H117" s="129">
        <f>+'Exercise 6 DCC Paid LDFs'!H20/'Exercise 6 - Paid LDFs'!H17</f>
        <v>0.45381419166327591</v>
      </c>
      <c r="I117" s="129">
        <f>+'Exercise 6 DCC Paid LDFs'!I20/'Exercise 6 - Paid LDFs'!I17</f>
        <v>0.45719068155080067</v>
      </c>
      <c r="J117" s="129"/>
      <c r="K117" s="129"/>
      <c r="L117" s="129"/>
      <c r="M117" s="129"/>
      <c r="N117" s="129"/>
      <c r="O117" s="129"/>
      <c r="P117" s="129"/>
      <c r="Q117" s="63"/>
      <c r="R117" s="63"/>
      <c r="S117" s="305"/>
      <c r="T117" s="245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</row>
    <row r="118" spans="1:42">
      <c r="A118" s="49">
        <f t="shared" si="33"/>
        <v>2010</v>
      </c>
      <c r="B118" s="129">
        <f>+'Exercise 6 DCC Paid LDFs'!B21/'Exercise 6 - Paid LDFs'!B18</f>
        <v>7.5533848365721856E-2</v>
      </c>
      <c r="C118" s="129">
        <f>+'Exercise 6 DCC Paid LDFs'!C21/'Exercise 6 - Paid LDFs'!C18</f>
        <v>0.13518023454457898</v>
      </c>
      <c r="D118" s="129">
        <f>+'Exercise 6 DCC Paid LDFs'!D21/'Exercise 6 - Paid LDFs'!D18</f>
        <v>0.2824984466179345</v>
      </c>
      <c r="E118" s="129">
        <f>+'Exercise 6 DCC Paid LDFs'!E21/'Exercise 6 - Paid LDFs'!E18</f>
        <v>0.27888498475221934</v>
      </c>
      <c r="F118" s="129">
        <f>+'Exercise 6 DCC Paid LDFs'!F21/'Exercise 6 - Paid LDFs'!F18</f>
        <v>0.34448586344273024</v>
      </c>
      <c r="G118" s="129">
        <f>+'Exercise 6 DCC Paid LDFs'!G21/'Exercise 6 - Paid LDFs'!G18</f>
        <v>0.33704373011144395</v>
      </c>
      <c r="H118" s="129">
        <f>+'Exercise 6 DCC Paid LDFs'!H21/'Exercise 6 - Paid LDFs'!H18</f>
        <v>0.33398214741752885</v>
      </c>
      <c r="I118" s="129"/>
      <c r="J118" s="129"/>
      <c r="K118" s="129"/>
      <c r="L118" s="129"/>
      <c r="M118" s="129"/>
      <c r="N118" s="129"/>
      <c r="O118" s="129"/>
      <c r="P118" s="129"/>
      <c r="Q118" s="63"/>
      <c r="R118" s="63"/>
      <c r="S118" s="305"/>
      <c r="T118" s="245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</row>
    <row r="119" spans="1:42">
      <c r="A119" s="49">
        <f t="shared" si="33"/>
        <v>2011</v>
      </c>
      <c r="B119" s="129">
        <f>+'Exercise 6 DCC Paid LDFs'!B22/'Exercise 6 - Paid LDFs'!B19</f>
        <v>0.11007682563135797</v>
      </c>
      <c r="C119" s="129">
        <f>+'Exercise 6 DCC Paid LDFs'!C22/'Exercise 6 - Paid LDFs'!C19</f>
        <v>0.10097011471826625</v>
      </c>
      <c r="D119" s="129">
        <f>+'Exercise 6 DCC Paid LDFs'!D22/'Exercise 6 - Paid LDFs'!D19</f>
        <v>0.25499782974537721</v>
      </c>
      <c r="E119" s="129">
        <f>+'Exercise 6 DCC Paid LDFs'!E22/'Exercise 6 - Paid LDFs'!E19</f>
        <v>0.26913524839768044</v>
      </c>
      <c r="F119" s="129">
        <f>+'Exercise 6 DCC Paid LDFs'!F22/'Exercise 6 - Paid LDFs'!F19</f>
        <v>0.17455895387436768</v>
      </c>
      <c r="G119" s="129">
        <f>+'Exercise 6 DCC Paid LDFs'!G22/'Exercise 6 - Paid LDFs'!G19</f>
        <v>0.15998731558204765</v>
      </c>
      <c r="H119" s="129"/>
      <c r="I119" s="129"/>
      <c r="J119" s="129"/>
      <c r="K119" s="129"/>
      <c r="L119" s="129"/>
      <c r="M119" s="129"/>
      <c r="N119" s="129"/>
      <c r="O119" s="129"/>
      <c r="P119" s="129"/>
      <c r="Q119" s="63"/>
      <c r="R119" s="63"/>
      <c r="S119" s="305"/>
      <c r="T119" s="245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</row>
    <row r="120" spans="1:42">
      <c r="A120" s="49">
        <f t="shared" si="33"/>
        <v>2012</v>
      </c>
      <c r="B120" s="129">
        <f>+'Exercise 6 DCC Paid LDFs'!B23/'Exercise 6 - Paid LDFs'!B20</f>
        <v>3.2827254319748506E-2</v>
      </c>
      <c r="C120" s="129">
        <f>+'Exercise 6 DCC Paid LDFs'!C23/'Exercise 6 - Paid LDFs'!C20</f>
        <v>6.2692510067892684E-2</v>
      </c>
      <c r="D120" s="129">
        <f>+'Exercise 6 DCC Paid LDFs'!D23/'Exercise 6 - Paid LDFs'!D20</f>
        <v>0.20110878937033727</v>
      </c>
      <c r="E120" s="129">
        <f>+'Exercise 6 DCC Paid LDFs'!E23/'Exercise 6 - Paid LDFs'!E20</f>
        <v>0.32948092506653498</v>
      </c>
      <c r="F120" s="129">
        <f>+'Exercise 6 DCC Paid LDFs'!F23/'Exercise 6 - Paid LDFs'!F20</f>
        <v>0.25275324363947849</v>
      </c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63"/>
      <c r="R120" s="63"/>
      <c r="S120" s="305"/>
      <c r="T120" s="245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</row>
    <row r="121" spans="1:42">
      <c r="A121" s="49">
        <f t="shared" si="33"/>
        <v>2013</v>
      </c>
      <c r="B121" s="129">
        <f>+'Exercise 6 DCC Paid LDFs'!B24/'Exercise 6 - Paid LDFs'!B21</f>
        <v>4.9316677421692892E-2</v>
      </c>
      <c r="C121" s="129">
        <f>+'Exercise 6 DCC Paid LDFs'!C24/'Exercise 6 - Paid LDFs'!C21</f>
        <v>8.5534068506764954E-2</v>
      </c>
      <c r="D121" s="129">
        <f>+'Exercise 6 DCC Paid LDFs'!D24/'Exercise 6 - Paid LDFs'!D21</f>
        <v>0.2147363294721796</v>
      </c>
      <c r="E121" s="129">
        <f>+'Exercise 6 DCC Paid LDFs'!E24/'Exercise 6 - Paid LDFs'!E21</f>
        <v>0.41636247840169366</v>
      </c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63"/>
      <c r="R121" s="63"/>
      <c r="S121" s="305"/>
      <c r="T121" s="245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</row>
    <row r="122" spans="1:42">
      <c r="A122" s="49">
        <f t="shared" si="33"/>
        <v>2014</v>
      </c>
      <c r="B122" s="129">
        <f>+'Exercise 6 DCC Paid LDFs'!B25/'Exercise 6 - Paid LDFs'!B22</f>
        <v>0.13295556565360028</v>
      </c>
      <c r="C122" s="129">
        <f>+'Exercise 6 DCC Paid LDFs'!C25/'Exercise 6 - Paid LDFs'!C22</f>
        <v>0.21520890412600202</v>
      </c>
      <c r="D122" s="129">
        <f>+'Exercise 6 DCC Paid LDFs'!D25/'Exercise 6 - Paid LDFs'!D22</f>
        <v>0.33510473535790664</v>
      </c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63"/>
      <c r="R122" s="63"/>
      <c r="S122" s="305"/>
      <c r="T122" s="245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</row>
    <row r="123" spans="1:42">
      <c r="A123" s="49">
        <f>+A124-1</f>
        <v>2015</v>
      </c>
      <c r="B123" s="129">
        <f>+'Exercise 6 DCC Paid LDFs'!B26/'Exercise 6 - Paid LDFs'!B23</f>
        <v>0.21622125999349351</v>
      </c>
      <c r="C123" s="129">
        <f>+'Exercise 6 DCC Paid LDFs'!C26/'Exercise 6 - Paid LDFs'!C23</f>
        <v>0.18574767021915187</v>
      </c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63"/>
      <c r="R123" s="63"/>
      <c r="S123" s="305"/>
      <c r="T123" s="245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</row>
    <row r="124" spans="1:42">
      <c r="A124" s="51">
        <f>+EndYear</f>
        <v>2016</v>
      </c>
      <c r="B124" s="129">
        <f>+'Exercise 6 DCC Paid LDFs'!B27/'Exercise 6 - Paid LDFs'!B24</f>
        <v>0.11867491152017647</v>
      </c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63"/>
      <c r="R124" s="63"/>
      <c r="S124" s="305"/>
      <c r="T124" s="245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</row>
    <row r="125" spans="1:42" ht="15.75"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53"/>
      <c r="M125" s="53"/>
      <c r="N125" s="53"/>
      <c r="O125" s="53"/>
      <c r="P125" s="53"/>
      <c r="Q125" s="63"/>
      <c r="R125" s="63"/>
      <c r="S125" s="63"/>
      <c r="T125" s="1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</row>
    <row r="126" spans="1:42"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</row>
    <row r="127" spans="1:42">
      <c r="A127" s="40" t="str">
        <f>'[1]Exercise 12 - Pd to PD factors'!$A$10</f>
        <v>Accident</v>
      </c>
      <c r="B127" s="41" t="s">
        <v>8</v>
      </c>
      <c r="C127" s="41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5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</row>
    <row r="128" spans="1:42">
      <c r="A128" s="43" t="s">
        <v>5</v>
      </c>
      <c r="B128" s="56" t="s">
        <v>9</v>
      </c>
      <c r="C128" s="56" t="s">
        <v>10</v>
      </c>
      <c r="D128" s="56" t="s">
        <v>11</v>
      </c>
      <c r="E128" s="56" t="s">
        <v>12</v>
      </c>
      <c r="F128" s="56" t="s">
        <v>13</v>
      </c>
      <c r="G128" s="56" t="s">
        <v>14</v>
      </c>
      <c r="H128" s="56" t="s">
        <v>15</v>
      </c>
      <c r="I128" s="56" t="s">
        <v>16</v>
      </c>
      <c r="J128" s="56" t="s">
        <v>17</v>
      </c>
      <c r="K128" s="56" t="s">
        <v>18</v>
      </c>
      <c r="L128" s="56" t="s">
        <v>19</v>
      </c>
      <c r="M128" s="56" t="s">
        <v>20</v>
      </c>
      <c r="N128" s="56" t="s">
        <v>21</v>
      </c>
      <c r="O128" s="56" t="s">
        <v>22</v>
      </c>
      <c r="P128" s="56" t="s">
        <v>23</v>
      </c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</row>
    <row r="129" spans="1:42">
      <c r="A129" s="49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</row>
    <row r="130" spans="1:42">
      <c r="A130" s="49">
        <f t="shared" ref="A130:A143" si="34">+A111</f>
        <v>2003</v>
      </c>
      <c r="B130" s="53">
        <f>+ROUND(C110/B110,3)</f>
        <v>1.361</v>
      </c>
      <c r="C130" s="53">
        <f t="shared" ref="C130:O130" si="35">+ROUND(D110/C110,3)</f>
        <v>1.946</v>
      </c>
      <c r="D130" s="53">
        <f t="shared" si="35"/>
        <v>1.4830000000000001</v>
      </c>
      <c r="E130" s="53">
        <f t="shared" si="35"/>
        <v>1.028</v>
      </c>
      <c r="F130" s="53">
        <f t="shared" si="35"/>
        <v>0.98199999999999998</v>
      </c>
      <c r="G130" s="53">
        <f t="shared" si="35"/>
        <v>0.997</v>
      </c>
      <c r="H130" s="53">
        <f t="shared" si="35"/>
        <v>1.0029999999999999</v>
      </c>
      <c r="I130" s="53">
        <f t="shared" si="35"/>
        <v>0.99299999999999999</v>
      </c>
      <c r="J130" s="53">
        <f t="shared" si="35"/>
        <v>0.99399999999999999</v>
      </c>
      <c r="K130" s="53">
        <f t="shared" si="35"/>
        <v>0.90200000000000002</v>
      </c>
      <c r="L130" s="53">
        <f t="shared" si="35"/>
        <v>0.95399999999999996</v>
      </c>
      <c r="M130" s="53">
        <f t="shared" si="35"/>
        <v>1</v>
      </c>
      <c r="N130" s="53">
        <f t="shared" si="35"/>
        <v>0.99</v>
      </c>
      <c r="O130" s="53">
        <f t="shared" si="35"/>
        <v>1</v>
      </c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</row>
    <row r="131" spans="1:42">
      <c r="A131" s="49">
        <f t="shared" si="34"/>
        <v>2004</v>
      </c>
      <c r="B131" s="53">
        <f t="shared" ref="B131:N143" si="36">+ROUND(C111/B111,3)</f>
        <v>1.1499999999999999</v>
      </c>
      <c r="C131" s="53">
        <f t="shared" si="36"/>
        <v>1.6839999999999999</v>
      </c>
      <c r="D131" s="53">
        <f t="shared" si="36"/>
        <v>2.04</v>
      </c>
      <c r="E131" s="53">
        <f t="shared" si="36"/>
        <v>1.091</v>
      </c>
      <c r="F131" s="53">
        <f t="shared" si="36"/>
        <v>1.0029999999999999</v>
      </c>
      <c r="G131" s="53">
        <f t="shared" si="36"/>
        <v>1.0249999999999999</v>
      </c>
      <c r="H131" s="53">
        <f t="shared" si="36"/>
        <v>1.008</v>
      </c>
      <c r="I131" s="53">
        <f t="shared" si="36"/>
        <v>1.008</v>
      </c>
      <c r="J131" s="53">
        <f t="shared" si="36"/>
        <v>1.01</v>
      </c>
      <c r="K131" s="53">
        <f t="shared" si="36"/>
        <v>1</v>
      </c>
      <c r="L131" s="53">
        <f t="shared" si="36"/>
        <v>0.98399999999999999</v>
      </c>
      <c r="M131" s="53">
        <f t="shared" si="36"/>
        <v>0.88600000000000001</v>
      </c>
      <c r="N131" s="53">
        <f t="shared" si="36"/>
        <v>1.0109999999999999</v>
      </c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</row>
    <row r="132" spans="1:42">
      <c r="A132" s="49">
        <f t="shared" si="34"/>
        <v>2005</v>
      </c>
      <c r="B132" s="53">
        <f t="shared" si="36"/>
        <v>0.91</v>
      </c>
      <c r="C132" s="53">
        <f t="shared" si="36"/>
        <v>1.8</v>
      </c>
      <c r="D132" s="53">
        <f t="shared" si="36"/>
        <v>1.468</v>
      </c>
      <c r="E132" s="53">
        <f t="shared" si="36"/>
        <v>1.0529999999999999</v>
      </c>
      <c r="F132" s="53">
        <f t="shared" si="36"/>
        <v>1.0249999999999999</v>
      </c>
      <c r="G132" s="53">
        <f t="shared" si="36"/>
        <v>1.0189999999999999</v>
      </c>
      <c r="H132" s="53">
        <f t="shared" si="36"/>
        <v>1.02</v>
      </c>
      <c r="I132" s="53">
        <f t="shared" si="36"/>
        <v>1.012</v>
      </c>
      <c r="J132" s="53">
        <f t="shared" si="36"/>
        <v>1.0089999999999999</v>
      </c>
      <c r="K132" s="53">
        <f t="shared" si="36"/>
        <v>0.98699999999999999</v>
      </c>
      <c r="L132" s="53">
        <f t="shared" si="36"/>
        <v>0.86699999999999999</v>
      </c>
      <c r="M132" s="53">
        <f t="shared" si="36"/>
        <v>0.999</v>
      </c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</row>
    <row r="133" spans="1:42">
      <c r="A133" s="49">
        <f t="shared" si="34"/>
        <v>2006</v>
      </c>
      <c r="B133" s="53">
        <f t="shared" si="36"/>
        <v>1.3680000000000001</v>
      </c>
      <c r="C133" s="53">
        <f t="shared" si="36"/>
        <v>2.8690000000000002</v>
      </c>
      <c r="D133" s="53">
        <f t="shared" si="36"/>
        <v>1.4330000000000001</v>
      </c>
      <c r="E133" s="53">
        <f t="shared" si="36"/>
        <v>0.92</v>
      </c>
      <c r="F133" s="53">
        <f t="shared" si="36"/>
        <v>0.91</v>
      </c>
      <c r="G133" s="53">
        <f t="shared" si="36"/>
        <v>0.95299999999999996</v>
      </c>
      <c r="H133" s="53">
        <f t="shared" si="36"/>
        <v>0.99</v>
      </c>
      <c r="I133" s="53">
        <f t="shared" si="36"/>
        <v>0.96299999999999997</v>
      </c>
      <c r="J133" s="53">
        <f t="shared" si="36"/>
        <v>0.96</v>
      </c>
      <c r="K133" s="53">
        <f t="shared" si="36"/>
        <v>0.76100000000000001</v>
      </c>
      <c r="L133" s="53">
        <f t="shared" si="36"/>
        <v>1.0209999999999999</v>
      </c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</row>
    <row r="134" spans="1:42">
      <c r="A134" s="49">
        <f t="shared" si="34"/>
        <v>2007</v>
      </c>
      <c r="B134" s="53">
        <f t="shared" si="36"/>
        <v>2.339</v>
      </c>
      <c r="C134" s="53">
        <f t="shared" si="36"/>
        <v>1.385</v>
      </c>
      <c r="D134" s="53">
        <f t="shared" si="36"/>
        <v>1.294</v>
      </c>
      <c r="E134" s="53">
        <f t="shared" si="36"/>
        <v>1.173</v>
      </c>
      <c r="F134" s="53">
        <f t="shared" si="36"/>
        <v>0.88500000000000001</v>
      </c>
      <c r="G134" s="53">
        <f t="shared" si="36"/>
        <v>0.97099999999999997</v>
      </c>
      <c r="H134" s="53">
        <f t="shared" si="36"/>
        <v>0.98699999999999999</v>
      </c>
      <c r="I134" s="53">
        <f t="shared" si="36"/>
        <v>0.94499999999999995</v>
      </c>
      <c r="J134" s="53">
        <f t="shared" si="36"/>
        <v>0.98399999999999999</v>
      </c>
      <c r="K134" s="53">
        <f t="shared" si="36"/>
        <v>0.90700000000000003</v>
      </c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</row>
    <row r="135" spans="1:42">
      <c r="A135" s="49">
        <f t="shared" si="34"/>
        <v>2008</v>
      </c>
      <c r="B135" s="53">
        <f t="shared" si="36"/>
        <v>2.653</v>
      </c>
      <c r="C135" s="53">
        <f t="shared" si="36"/>
        <v>1.627</v>
      </c>
      <c r="D135" s="53">
        <f t="shared" si="36"/>
        <v>1.2889999999999999</v>
      </c>
      <c r="E135" s="53">
        <f t="shared" si="36"/>
        <v>0.86699999999999999</v>
      </c>
      <c r="F135" s="53">
        <f t="shared" si="36"/>
        <v>0.93799999999999994</v>
      </c>
      <c r="G135" s="53">
        <f t="shared" si="36"/>
        <v>0.99399999999999999</v>
      </c>
      <c r="H135" s="53">
        <f t="shared" si="36"/>
        <v>0.91300000000000003</v>
      </c>
      <c r="I135" s="53">
        <f t="shared" si="36"/>
        <v>0.88100000000000001</v>
      </c>
      <c r="J135" s="53">
        <f t="shared" si="36"/>
        <v>1.0289999999999999</v>
      </c>
      <c r="K135" s="53"/>
      <c r="L135" s="53"/>
      <c r="M135" s="53"/>
      <c r="N135" s="53"/>
      <c r="O135" s="53"/>
      <c r="P135" s="5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</row>
    <row r="136" spans="1:42">
      <c r="A136" s="49">
        <f t="shared" si="34"/>
        <v>2009</v>
      </c>
      <c r="B136" s="53">
        <f t="shared" si="36"/>
        <v>1.827</v>
      </c>
      <c r="C136" s="53">
        <f t="shared" si="36"/>
        <v>1.7370000000000001</v>
      </c>
      <c r="D136" s="53">
        <f t="shared" si="36"/>
        <v>1.2909999999999999</v>
      </c>
      <c r="E136" s="53">
        <f t="shared" si="36"/>
        <v>1.2969999999999999</v>
      </c>
      <c r="F136" s="53">
        <f t="shared" si="36"/>
        <v>0.96399999999999997</v>
      </c>
      <c r="G136" s="53">
        <f t="shared" si="36"/>
        <v>0.95099999999999996</v>
      </c>
      <c r="H136" s="53">
        <f t="shared" si="36"/>
        <v>0.85699999999999998</v>
      </c>
      <c r="I136" s="53">
        <f t="shared" si="36"/>
        <v>0.97799999999999998</v>
      </c>
      <c r="J136" s="53"/>
      <c r="K136" s="53"/>
      <c r="L136" s="53"/>
      <c r="M136" s="53"/>
      <c r="N136" s="53"/>
      <c r="O136" s="53"/>
      <c r="P136" s="5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</row>
    <row r="137" spans="1:42">
      <c r="A137" s="49">
        <f t="shared" si="34"/>
        <v>2010</v>
      </c>
      <c r="B137" s="53">
        <f t="shared" si="36"/>
        <v>2.052</v>
      </c>
      <c r="C137" s="53">
        <f t="shared" si="36"/>
        <v>3.5089999999999999</v>
      </c>
      <c r="D137" s="53">
        <f t="shared" si="36"/>
        <v>2.2360000000000002</v>
      </c>
      <c r="E137" s="53">
        <f t="shared" si="36"/>
        <v>1.0780000000000001</v>
      </c>
      <c r="F137" s="53">
        <f t="shared" si="36"/>
        <v>0.96099999999999997</v>
      </c>
      <c r="G137" s="53">
        <f t="shared" si="36"/>
        <v>0.97799999999999998</v>
      </c>
      <c r="H137" s="53">
        <f t="shared" si="36"/>
        <v>1.0069999999999999</v>
      </c>
      <c r="I137" s="53"/>
      <c r="J137" s="53"/>
      <c r="K137" s="53"/>
      <c r="L137" s="53"/>
      <c r="M137" s="53"/>
      <c r="N137" s="53"/>
      <c r="O137" s="53"/>
      <c r="P137" s="5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</row>
    <row r="138" spans="1:42">
      <c r="A138" s="49">
        <f t="shared" si="34"/>
        <v>2011</v>
      </c>
      <c r="B138" s="53">
        <f t="shared" si="36"/>
        <v>1.79</v>
      </c>
      <c r="C138" s="53">
        <f t="shared" si="36"/>
        <v>2.09</v>
      </c>
      <c r="D138" s="53">
        <f t="shared" si="36"/>
        <v>0.98699999999999999</v>
      </c>
      <c r="E138" s="53">
        <f t="shared" si="36"/>
        <v>1.2350000000000001</v>
      </c>
      <c r="F138" s="53">
        <f t="shared" si="36"/>
        <v>0.97799999999999998</v>
      </c>
      <c r="G138" s="53">
        <f t="shared" si="36"/>
        <v>0.99099999999999999</v>
      </c>
      <c r="H138" s="53"/>
      <c r="I138" s="53"/>
      <c r="J138" s="53"/>
      <c r="K138" s="53"/>
      <c r="L138" s="53"/>
      <c r="M138" s="53"/>
      <c r="N138" s="53"/>
      <c r="O138" s="53"/>
      <c r="P138" s="5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</row>
    <row r="139" spans="1:42">
      <c r="A139" s="49">
        <f t="shared" si="34"/>
        <v>2012</v>
      </c>
      <c r="B139" s="53">
        <f t="shared" si="36"/>
        <v>0.91700000000000004</v>
      </c>
      <c r="C139" s="53">
        <f t="shared" si="36"/>
        <v>2.5249999999999999</v>
      </c>
      <c r="D139" s="53">
        <f t="shared" si="36"/>
        <v>1.0549999999999999</v>
      </c>
      <c r="E139" s="53">
        <f t="shared" si="36"/>
        <v>0.64900000000000002</v>
      </c>
      <c r="F139" s="53">
        <f t="shared" si="36"/>
        <v>0.91700000000000004</v>
      </c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</row>
    <row r="140" spans="1:42">
      <c r="A140" s="49">
        <f t="shared" si="34"/>
        <v>2013</v>
      </c>
      <c r="B140" s="53">
        <f t="shared" si="36"/>
        <v>1.91</v>
      </c>
      <c r="C140" s="53">
        <f t="shared" si="36"/>
        <v>3.2080000000000002</v>
      </c>
      <c r="D140" s="53">
        <f t="shared" si="36"/>
        <v>1.6379999999999999</v>
      </c>
      <c r="E140" s="53">
        <f t="shared" si="36"/>
        <v>0.76700000000000002</v>
      </c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</row>
    <row r="141" spans="1:42">
      <c r="A141" s="49">
        <f t="shared" si="34"/>
        <v>2014</v>
      </c>
      <c r="B141" s="53">
        <f t="shared" si="36"/>
        <v>1.734</v>
      </c>
      <c r="C141" s="53">
        <f t="shared" si="36"/>
        <v>2.5110000000000001</v>
      </c>
      <c r="D141" s="53">
        <f t="shared" si="36"/>
        <v>1.9390000000000001</v>
      </c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</row>
    <row r="142" spans="1:42">
      <c r="A142" s="49">
        <f t="shared" si="34"/>
        <v>2015</v>
      </c>
      <c r="B142" s="53">
        <f t="shared" si="36"/>
        <v>1.619</v>
      </c>
      <c r="C142" s="53">
        <f t="shared" si="36"/>
        <v>1.5569999999999999</v>
      </c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</row>
    <row r="143" spans="1:42">
      <c r="A143" s="51">
        <f t="shared" si="34"/>
        <v>2016</v>
      </c>
      <c r="B143" s="53">
        <f t="shared" si="36"/>
        <v>0.85899999999999999</v>
      </c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</row>
    <row r="145" spans="1:15">
      <c r="A145" s="59" t="s">
        <v>24</v>
      </c>
    </row>
    <row r="146" spans="1:15">
      <c r="A146" s="59" t="s">
        <v>25</v>
      </c>
      <c r="B146" s="314">
        <f>+'Exercise 12 - DCC Pd Pd LDFs'!B49</f>
        <v>1.4039999999999999</v>
      </c>
      <c r="C146" s="314">
        <f>+'Exercise 12 - DCC Pd Pd LDFs'!C49</f>
        <v>2.4249999999999998</v>
      </c>
      <c r="D146" s="314">
        <f>+'Exercise 12 - DCC Pd Pd LDFs'!D49</f>
        <v>1.544</v>
      </c>
      <c r="E146" s="295">
        <f>ROUND(AVERAGE(E138:E140),3)</f>
        <v>0.88400000000000001</v>
      </c>
      <c r="F146" s="295">
        <f>ROUND(AVERAGE(F137:F139),3)</f>
        <v>0.95199999999999996</v>
      </c>
      <c r="G146" s="295">
        <f>ROUND(AVERAGE(G136:G138),3)</f>
        <v>0.97299999999999998</v>
      </c>
      <c r="H146" s="53" t="str">
        <f>IF(ISERR(ROUND(AVERAGE(#REF!),3)),"",ROUND(AVERAGE(#REF!),3))</f>
        <v/>
      </c>
      <c r="I146" s="53" t="str">
        <f>IF(ISERR(ROUND(AVERAGE(#REF!),3)),"",ROUND(AVERAGE(#REF!),3))</f>
        <v/>
      </c>
      <c r="J146" s="53" t="str">
        <f>IF(ISERR(ROUND(AVERAGE(#REF!),3)),"",ROUND(AVERAGE(#REF!),3))</f>
        <v/>
      </c>
      <c r="K146" s="53" t="str">
        <f>IF(ISERR(ROUND(AVERAGE(#REF!),3)),"",ROUND(AVERAGE(#REF!),3))</f>
        <v/>
      </c>
      <c r="L146" s="53" t="str">
        <f>IF(ISERR(ROUND(AVERAGE(#REF!),3)),"",ROUND(AVERAGE(#REF!),3))</f>
        <v/>
      </c>
      <c r="M146" s="53" t="str">
        <f>IF(ISERR(ROUND(AVERAGE(#REF!),3)),"",ROUND(AVERAGE(#REF!),3))</f>
        <v/>
      </c>
      <c r="N146" s="53"/>
      <c r="O146" s="53"/>
    </row>
    <row r="147" spans="1:15">
      <c r="A147" s="59" t="s">
        <v>26</v>
      </c>
      <c r="B147" s="314">
        <f>+'Exercise 12 - DCC Pd Pd LDFs'!B50</f>
        <v>1.4079999999999999</v>
      </c>
      <c r="C147" s="314">
        <f>+'Exercise 12 - DCC Pd Pd LDFs'!C50</f>
        <v>2.3780000000000001</v>
      </c>
      <c r="D147" s="314">
        <f>+'Exercise 12 - DCC Pd Pd LDFs'!D50</f>
        <v>1.571</v>
      </c>
      <c r="E147" s="295">
        <f>ROUND(AVERAGE(E136:E140),3)</f>
        <v>1.0049999999999999</v>
      </c>
      <c r="F147" s="295">
        <f>ROUND(AVERAGE(F135:F139),3)</f>
        <v>0.95199999999999996</v>
      </c>
      <c r="G147" s="295">
        <f>ROUND(AVERAGE(G134:G138),3)</f>
        <v>0.97699999999999998</v>
      </c>
      <c r="H147" s="53" t="str">
        <f>IF(ISERR(ROUND(AVERAGE(#REF!),3)),"",ROUND(AVERAGE(#REF!),3))</f>
        <v/>
      </c>
      <c r="I147" s="53" t="str">
        <f>IF(ISERR(ROUND(AVERAGE(#REF!),3)),"",ROUND(AVERAGE(#REF!),3))</f>
        <v/>
      </c>
      <c r="J147" s="53" t="str">
        <f>IF(ISERR(ROUND(AVERAGE(#REF!),3)),"",ROUND(AVERAGE(#REF!),3))</f>
        <v/>
      </c>
      <c r="K147" s="53" t="str">
        <f>IF(ISERR(ROUND(AVERAGE(#REF!),3)),"",ROUND(AVERAGE(#REF!),3))</f>
        <v/>
      </c>
      <c r="L147" s="53" t="str">
        <f>IF(ISERR(ROUND(AVERAGE(#REF!),3)),"",ROUND(AVERAGE(#REF!),3))</f>
        <v/>
      </c>
      <c r="M147" s="53"/>
      <c r="N147" s="53"/>
      <c r="O147" s="53"/>
    </row>
    <row r="148" spans="1:15">
      <c r="A148" s="59" t="s">
        <v>27</v>
      </c>
      <c r="B148" s="314">
        <f>+'Exercise 12 - DCC Pd Pd LDFs'!B51</f>
        <v>1.423</v>
      </c>
      <c r="C148" s="314">
        <f>+'Exercise 12 - DCC Pd Pd LDFs'!C51</f>
        <v>2.375</v>
      </c>
      <c r="D148" s="314">
        <f>+'Exercise 12 - DCC Pd Pd LDFs'!D51</f>
        <v>1.544</v>
      </c>
      <c r="E148" s="295">
        <f>ROUND((SUM(E136:E140)-MAX(E136:E140)-MIN(E136:E140))/3,3)</f>
        <v>1.0269999999999999</v>
      </c>
      <c r="F148" s="295">
        <f>ROUND((SUM(F135:F139)-MAX(F135:F139)-MIN(F135:F139))/3,3)</f>
        <v>0.95399999999999996</v>
      </c>
      <c r="G148" s="295">
        <f>ROUND((SUM(G134:G138)-MAX(G134:G138)-MIN(G134:G138))/3,3)</f>
        <v>0.98</v>
      </c>
      <c r="H148" s="53"/>
      <c r="I148" s="53"/>
      <c r="J148" s="53"/>
      <c r="K148" s="53"/>
      <c r="L148" s="53"/>
      <c r="M148" s="53"/>
      <c r="N148" s="53"/>
      <c r="O148" s="53"/>
    </row>
    <row r="149" spans="1:15">
      <c r="A149" s="60" t="s">
        <v>28</v>
      </c>
      <c r="B149" s="314">
        <f>+'Exercise 12 - DCC Pd Pd LDFs'!B52</f>
        <v>1.6060000000000001</v>
      </c>
      <c r="C149" s="314">
        <f>+'Exercise 12 - DCC Pd Pd LDFs'!C52</f>
        <v>2.1880000000000002</v>
      </c>
      <c r="D149" s="314">
        <f>+'Exercise 12 - DCC Pd Pd LDFs'!D52</f>
        <v>1.5129999999999999</v>
      </c>
      <c r="E149" s="295">
        <f>AVERAGE(E$130:E141)</f>
        <v>1.0143636363636361</v>
      </c>
      <c r="F149" s="295">
        <f>AVERAGE(F$130:F140)</f>
        <v>0.95629999999999993</v>
      </c>
      <c r="G149" s="295">
        <f>AVERAGE(G$130:G139)</f>
        <v>0.9865555555555553</v>
      </c>
      <c r="H149" s="53" t="str">
        <f>IF(ISERR(AVERAGE(#REF!)),"",AVERAGE(#REF!))</f>
        <v/>
      </c>
      <c r="I149" s="53" t="str">
        <f>IF(ISERR(AVERAGE(#REF!)),"",AVERAGE(#REF!))</f>
        <v/>
      </c>
      <c r="J149" s="53" t="str">
        <f>IF(ISERR(AVERAGE(#REF!)),"",AVERAGE(#REF!))</f>
        <v/>
      </c>
      <c r="K149" s="53" t="str">
        <f>IF(ISERR(AVERAGE(#REF!)),"",AVERAGE(#REF!))</f>
        <v/>
      </c>
      <c r="L149" s="53" t="str">
        <f>IF(ISERR(AVERAGE(#REF!)),"",AVERAGE(#REF!))</f>
        <v/>
      </c>
      <c r="M149" s="53" t="str">
        <f>IF(ISERR(AVERAGE(#REF!)),"",AVERAGE(#REF!))</f>
        <v/>
      </c>
      <c r="N149" s="53" t="str">
        <f>IF(ISERR(AVERAGE(#REF!)),"",AVERAGE(#REF!))</f>
        <v/>
      </c>
      <c r="O149" s="53" t="str">
        <f>IF(ISERR(AVERAGE(#REF!)),"",AVERAGE(#REF!))</f>
        <v/>
      </c>
    </row>
    <row r="150" spans="1:15">
      <c r="B150" s="315"/>
      <c r="C150" s="315"/>
      <c r="D150" s="315"/>
      <c r="E150" s="296"/>
      <c r="F150" s="296"/>
      <c r="G150" s="296"/>
      <c r="H150" s="45"/>
      <c r="I150" s="45"/>
      <c r="J150" s="45"/>
      <c r="K150" s="45"/>
      <c r="L150" s="45"/>
      <c r="M150" s="45"/>
      <c r="N150" s="45"/>
      <c r="O150" s="45"/>
    </row>
    <row r="151" spans="1:15">
      <c r="A151" s="59" t="s">
        <v>29</v>
      </c>
      <c r="B151" s="314">
        <f>+'Exercise 12 - DCC Pd Pd LDFs'!B54</f>
        <v>1.2210000000000001</v>
      </c>
      <c r="C151" s="314">
        <f>+'Exercise 12 - DCC Pd Pd LDFs'!C54</f>
        <v>2.0659999999999998</v>
      </c>
      <c r="D151" s="314">
        <f>+'Exercise 12 - DCC Pd Pd LDFs'!D54</f>
        <v>1.5129999999999999</v>
      </c>
      <c r="E151" s="295">
        <f>ROUND(SUM(F118:F120)/SUM(E118:E120),3)</f>
        <v>0.88</v>
      </c>
      <c r="F151" s="295">
        <f>ROUND(SUM(G117:G119)/SUM(F117:F119),3)</f>
        <v>0.95899999999999996</v>
      </c>
      <c r="G151" s="295">
        <f>ROUND(SUM(H116:H118)/SUM(G116:G118),3)</f>
        <v>0.96899999999999997</v>
      </c>
      <c r="H151" s="53" t="str">
        <f>IF(ISERR(ROUND(SUM(#REF!)/SUM(#REF!),3)),"",ROUND(SUM(#REF!)/SUM(#REF!),3))</f>
        <v/>
      </c>
      <c r="I151" s="53" t="str">
        <f>IF(ISERR(ROUND(SUM(#REF!)/SUM(#REF!),3)),"",ROUND(SUM(#REF!)/SUM(#REF!),3))</f>
        <v/>
      </c>
      <c r="J151" s="53" t="str">
        <f>IF(ISERR(ROUND(SUM(#REF!)/SUM(#REF!),3)),"",ROUND(SUM(#REF!)/SUM(#REF!),3))</f>
        <v/>
      </c>
      <c r="K151" s="53" t="str">
        <f>IF(ISERR(ROUND(SUM(#REF!)/SUM(#REF!),3)),"",ROUND(SUM(#REF!)/SUM(#REF!),3))</f>
        <v/>
      </c>
      <c r="L151" s="53" t="str">
        <f>IF(ISERR(ROUND(SUM(#REF!)/SUM(#REF!),3)),"",ROUND(SUM(#REF!)/SUM(#REF!),3))</f>
        <v/>
      </c>
      <c r="M151" s="53" t="str">
        <f>IF(ISERR(ROUND(SUM(#REF!)/SUM(#REF!),3)),"",ROUND(SUM(#REF!)/SUM(#REF!),3))</f>
        <v/>
      </c>
      <c r="N151" s="53"/>
      <c r="O151" s="53"/>
    </row>
    <row r="152" spans="1:15">
      <c r="A152" s="59" t="s">
        <v>30</v>
      </c>
      <c r="B152" s="314">
        <f>+'Exercise 12 - DCC Pd Pd LDFs'!B55</f>
        <v>1.2010000000000001</v>
      </c>
      <c r="C152" s="314">
        <f>+'Exercise 12 - DCC Pd Pd LDFs'!C55</f>
        <v>2.149</v>
      </c>
      <c r="D152" s="314">
        <f>+'Exercise 12 - DCC Pd Pd LDFs'!D55</f>
        <v>1.51</v>
      </c>
      <c r="E152" s="295">
        <f>ROUND(SUM(F116:F120)/SUM(E116:E120),3)</f>
        <v>1.05</v>
      </c>
      <c r="F152" s="295">
        <f>ROUND(SUM(G115:G119)/SUM(F115:F119),3)</f>
        <v>0.95599999999999996</v>
      </c>
      <c r="G152" s="295">
        <f>ROUND(SUM(H114:H118)/SUM(G114:G118),3)</f>
        <v>0.97399999999999998</v>
      </c>
      <c r="H152" s="53" t="str">
        <f>IF(ISERR(ROUND(SUM(#REF!)/SUM(#REF!),3)),"",ROUND(SUM(#REF!)/SUM(#REF!),3))</f>
        <v/>
      </c>
      <c r="I152" s="53" t="str">
        <f>IF(ISERR(ROUND(SUM(#REF!)/SUM(#REF!),3)),"",ROUND(SUM(#REF!)/SUM(#REF!),3))</f>
        <v/>
      </c>
      <c r="J152" s="53" t="str">
        <f>IF(ISERR(ROUND(SUM(#REF!)/SUM(#REF!),3)),"",ROUND(SUM(#REF!)/SUM(#REF!),3))</f>
        <v/>
      </c>
      <c r="K152" s="53" t="str">
        <f>IF(ISERR(ROUND(SUM(#REF!)/SUM(#REF!),3)),"",ROUND(SUM(#REF!)/SUM(#REF!),3))</f>
        <v/>
      </c>
      <c r="L152" s="53"/>
      <c r="M152" s="53"/>
      <c r="N152" s="53"/>
      <c r="O152" s="53"/>
    </row>
    <row r="153" spans="1:15">
      <c r="A153" s="60" t="s">
        <v>28</v>
      </c>
      <c r="B153" s="314">
        <f>+'Exercise 12 - DCC Pd Pd LDFs'!B56</f>
        <v>1.5029999999999999</v>
      </c>
      <c r="C153" s="314">
        <f>+'Exercise 12 - DCC Pd Pd LDFs'!C56</f>
        <v>1.974</v>
      </c>
      <c r="D153" s="314">
        <f>+'Exercise 12 - DCC Pd Pd LDFs'!D56</f>
        <v>1.4410000000000001</v>
      </c>
      <c r="E153" s="295">
        <f>SUM(F$110:F120)/SUM(E$110:E120)</f>
        <v>1.0191090075883344</v>
      </c>
      <c r="F153" s="295">
        <f>SUM(G$110:G119)/SUM(F$110:F119)</f>
        <v>0.95431657827274363</v>
      </c>
      <c r="G153" s="295">
        <f>SUM(H$110:H118)/SUM(G$110:G118)</f>
        <v>0.98097897713194016</v>
      </c>
      <c r="H153" s="53"/>
      <c r="I153" s="53"/>
      <c r="J153" s="53"/>
      <c r="K153" s="53"/>
      <c r="L153" s="53"/>
      <c r="M153" s="53"/>
      <c r="N153" s="53"/>
      <c r="O153" s="53"/>
    </row>
  </sheetData>
  <conditionalFormatting sqref="O44:P44 B44 D44:F44">
    <cfRule type="cellIs" dxfId="13" priority="6" stopIfTrue="1" operator="notEqual">
      <formula>R44</formula>
    </cfRule>
  </conditionalFormatting>
  <conditionalFormatting sqref="B46:D49 B51:D53">
    <cfRule type="cellIs" dxfId="12" priority="5" stopIfTrue="1" operator="notEqual">
      <formula>B146</formula>
    </cfRule>
  </conditionalFormatting>
  <conditionalFormatting sqref="O144:P144 B144:F144">
    <cfRule type="cellIs" dxfId="11" priority="3" stopIfTrue="1" operator="notEqual">
      <formula>R144</formula>
    </cfRule>
  </conditionalFormatting>
  <conditionalFormatting sqref="B43:G43 B42:H42 P36:P43 B10:P24 B30:C41 B30:B43 B30:P35 B36:N36 B37:M37 B38:L38 B39:K39 B40:J40 B41:I41 C40:C42">
    <cfRule type="cellIs" dxfId="10" priority="10" stopIfTrue="1" operator="notEqual">
      <formula>B110</formula>
    </cfRule>
  </conditionalFormatting>
  <pageMargins left="0.7" right="0.7" top="0.75" bottom="0.75" header="0.3" footer="0.3"/>
  <ignoredErrors>
    <ignoredError sqref="B10:P24 B30:Q43 B50:D5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F122"/>
  <sheetViews>
    <sheetView topLeftCell="A34" zoomScaleNormal="100" workbookViewId="0">
      <selection activeCell="A55" sqref="A55"/>
    </sheetView>
  </sheetViews>
  <sheetFormatPr defaultColWidth="10" defaultRowHeight="15"/>
  <cols>
    <col min="1" max="1" width="27.7109375" style="3" customWidth="1"/>
    <col min="2" max="16" width="18.28515625" style="1" customWidth="1"/>
    <col min="17" max="17" width="1.85546875" style="1" customWidth="1"/>
    <col min="18" max="18" width="10" style="1"/>
    <col min="19" max="20" width="11.28515625" style="1" customWidth="1"/>
    <col min="21" max="16384" width="10" style="1"/>
  </cols>
  <sheetData>
    <row r="1" spans="1:32" ht="15.75">
      <c r="A1" s="203" t="s">
        <v>0</v>
      </c>
      <c r="B1" s="62"/>
      <c r="C1" s="62"/>
      <c r="D1" s="62"/>
      <c r="E1" s="62"/>
      <c r="F1" s="62"/>
    </row>
    <row r="2" spans="1:32" ht="15.75">
      <c r="A2" s="204" t="str">
        <f>+"Analysis of Loss &amp; DCC Reserves as of "&amp;TEXT(EvalDate,"mm/dd/yyy")</f>
        <v>Analysis of Loss &amp; DCC Reserves as of 12/31/2016</v>
      </c>
      <c r="B2" s="62"/>
      <c r="C2" s="62"/>
      <c r="D2" s="62"/>
      <c r="E2" s="62"/>
      <c r="F2" s="62"/>
    </row>
    <row r="3" spans="1:32" ht="15.75">
      <c r="A3" s="205" t="str">
        <f>+LOB</f>
        <v>Liability</v>
      </c>
      <c r="B3" s="62"/>
    </row>
    <row r="4" spans="1:32" ht="15.75">
      <c r="R4" s="4"/>
      <c r="S4" s="4"/>
      <c r="T4" s="4"/>
      <c r="U4" s="4"/>
      <c r="V4" s="4"/>
      <c r="W4" s="4"/>
      <c r="X4" s="4"/>
      <c r="Y4" s="4"/>
      <c r="Z4" s="4"/>
      <c r="AA4" s="4"/>
    </row>
    <row r="5" spans="1:32">
      <c r="A5" s="2" t="s">
        <v>2</v>
      </c>
    </row>
    <row r="7" spans="1:32">
      <c r="A7" s="5" t="s">
        <v>3</v>
      </c>
      <c r="B7" s="6" t="s">
        <v>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</row>
    <row r="8" spans="1:32" s="3" customFormat="1">
      <c r="A8" s="8" t="s">
        <v>5</v>
      </c>
      <c r="B8" s="9">
        <f>+FirstMonth</f>
        <v>12</v>
      </c>
      <c r="C8" s="9">
        <f t="shared" ref="C8:P8" si="0">B8+12</f>
        <v>24</v>
      </c>
      <c r="D8" s="9">
        <f t="shared" si="0"/>
        <v>36</v>
      </c>
      <c r="E8" s="9">
        <f t="shared" si="0"/>
        <v>48</v>
      </c>
      <c r="F8" s="9">
        <f t="shared" si="0"/>
        <v>60</v>
      </c>
      <c r="G8" s="9">
        <f t="shared" si="0"/>
        <v>72</v>
      </c>
      <c r="H8" s="9">
        <f t="shared" si="0"/>
        <v>84</v>
      </c>
      <c r="I8" s="9">
        <f t="shared" si="0"/>
        <v>96</v>
      </c>
      <c r="J8" s="9">
        <f t="shared" si="0"/>
        <v>108</v>
      </c>
      <c r="K8" s="9">
        <f t="shared" si="0"/>
        <v>120</v>
      </c>
      <c r="L8" s="9">
        <f t="shared" si="0"/>
        <v>132</v>
      </c>
      <c r="M8" s="9">
        <f t="shared" si="0"/>
        <v>144</v>
      </c>
      <c r="N8" s="9">
        <f t="shared" si="0"/>
        <v>156</v>
      </c>
      <c r="O8" s="9">
        <f t="shared" si="0"/>
        <v>168</v>
      </c>
      <c r="P8" s="9">
        <f t="shared" si="0"/>
        <v>180</v>
      </c>
    </row>
    <row r="9" spans="1:32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2"/>
    </row>
    <row r="10" spans="1:32" ht="15.75">
      <c r="A10" s="13">
        <f t="shared" ref="A10:A22" si="1">+A11-1</f>
        <v>2002</v>
      </c>
      <c r="B10" s="14">
        <v>341628.08666666667</v>
      </c>
      <c r="C10" s="14">
        <v>1034837.0066666667</v>
      </c>
      <c r="D10" s="14">
        <v>1898517.33</v>
      </c>
      <c r="E10" s="14">
        <v>2466774.65</v>
      </c>
      <c r="F10" s="14">
        <v>2991936.8266666667</v>
      </c>
      <c r="G10" s="14">
        <v>3152844.0233333334</v>
      </c>
      <c r="H10" s="14">
        <v>3241242.6666666665</v>
      </c>
      <c r="I10" s="14">
        <v>3278555.3333333335</v>
      </c>
      <c r="J10" s="14">
        <v>3335054</v>
      </c>
      <c r="K10" s="14">
        <v>3388571.6666666665</v>
      </c>
      <c r="L10" s="14">
        <v>3792652.3333333335</v>
      </c>
      <c r="M10" s="14">
        <v>4006045.4066666663</v>
      </c>
      <c r="N10" s="14">
        <v>4026075.6336999992</v>
      </c>
      <c r="O10" s="14">
        <v>4066336.3900369992</v>
      </c>
      <c r="P10" s="14">
        <v>4066336.3900369992</v>
      </c>
      <c r="Q10" s="12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>
        <v>9463499</v>
      </c>
    </row>
    <row r="11" spans="1:32" ht="15.75">
      <c r="A11" s="13">
        <f t="shared" si="1"/>
        <v>2003</v>
      </c>
      <c r="B11" s="14">
        <v>283763.23000000004</v>
      </c>
      <c r="C11" s="14">
        <v>1117576.8500000001</v>
      </c>
      <c r="D11" s="14">
        <v>2132066.98</v>
      </c>
      <c r="E11" s="14">
        <v>2570624</v>
      </c>
      <c r="F11" s="14">
        <v>2641818</v>
      </c>
      <c r="G11" s="14">
        <v>2728291</v>
      </c>
      <c r="H11" s="14">
        <v>2752957</v>
      </c>
      <c r="I11" s="14">
        <v>2785455</v>
      </c>
      <c r="J11" s="14">
        <v>2804471</v>
      </c>
      <c r="K11" s="14">
        <v>2808770</v>
      </c>
      <c r="L11" s="14">
        <v>2835273</v>
      </c>
      <c r="M11" s="14">
        <v>2886516</v>
      </c>
      <c r="N11" s="14">
        <v>3289147</v>
      </c>
      <c r="O11" s="14">
        <v>3271028.46</v>
      </c>
      <c r="P11" s="14"/>
      <c r="Q11" s="12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 t="s">
        <v>7</v>
      </c>
    </row>
    <row r="12" spans="1:32" ht="15.75">
      <c r="A12" s="13">
        <f t="shared" si="1"/>
        <v>2004</v>
      </c>
      <c r="B12" s="14">
        <v>391721.33</v>
      </c>
      <c r="C12" s="14">
        <v>1101914.19</v>
      </c>
      <c r="D12" s="14">
        <v>2347778</v>
      </c>
      <c r="E12" s="14">
        <v>2952878</v>
      </c>
      <c r="F12" s="14">
        <v>3774844</v>
      </c>
      <c r="G12" s="14">
        <v>3845423</v>
      </c>
      <c r="H12" s="14">
        <v>3865494</v>
      </c>
      <c r="I12" s="14">
        <v>3865843</v>
      </c>
      <c r="J12" s="14">
        <v>3865843</v>
      </c>
      <c r="K12" s="14">
        <v>3866000</v>
      </c>
      <c r="L12" s="14">
        <v>3935115</v>
      </c>
      <c r="M12" s="14">
        <v>4574883</v>
      </c>
      <c r="N12" s="14">
        <v>4586913</v>
      </c>
      <c r="O12" s="14"/>
      <c r="P12" s="14"/>
      <c r="Q12" s="12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 t="s">
        <v>7</v>
      </c>
    </row>
    <row r="13" spans="1:32" ht="15.75">
      <c r="A13" s="13">
        <f t="shared" si="1"/>
        <v>2005</v>
      </c>
      <c r="B13" s="14">
        <v>349399.7</v>
      </c>
      <c r="C13" s="14">
        <v>885019.98</v>
      </c>
      <c r="D13" s="14">
        <v>1215707.01</v>
      </c>
      <c r="E13" s="14">
        <v>1876821.9500000002</v>
      </c>
      <c r="F13" s="14">
        <v>2559148.48</v>
      </c>
      <c r="G13" s="14">
        <v>2884818.0700000003</v>
      </c>
      <c r="H13" s="14">
        <v>3105277</v>
      </c>
      <c r="I13" s="14">
        <v>3184368</v>
      </c>
      <c r="J13" s="14">
        <v>3334848</v>
      </c>
      <c r="K13" s="14">
        <v>3490945</v>
      </c>
      <c r="L13" s="14">
        <v>4607569</v>
      </c>
      <c r="M13" s="14">
        <v>4556737.22</v>
      </c>
      <c r="N13" s="14" t="s">
        <v>7</v>
      </c>
      <c r="O13" s="14"/>
      <c r="P13" s="14"/>
      <c r="Q13" s="12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 t="s">
        <v>7</v>
      </c>
    </row>
    <row r="14" spans="1:32" ht="15.75">
      <c r="A14" s="13">
        <f t="shared" si="1"/>
        <v>2006</v>
      </c>
      <c r="B14" s="14">
        <v>367060.18</v>
      </c>
      <c r="C14" s="14">
        <v>650671.76</v>
      </c>
      <c r="D14" s="14">
        <v>1463556.4</v>
      </c>
      <c r="E14" s="14">
        <v>2459692.5299999998</v>
      </c>
      <c r="F14" s="14">
        <v>2861391.53</v>
      </c>
      <c r="G14" s="14">
        <v>3302088</v>
      </c>
      <c r="H14" s="14">
        <v>3455868</v>
      </c>
      <c r="I14" s="14">
        <v>3605837</v>
      </c>
      <c r="J14" s="14">
        <v>3848064</v>
      </c>
      <c r="K14" s="14">
        <v>3934578</v>
      </c>
      <c r="L14" s="14">
        <v>4357830.49</v>
      </c>
      <c r="M14" s="14" t="s">
        <v>7</v>
      </c>
      <c r="N14" s="14" t="s">
        <v>7</v>
      </c>
      <c r="O14" s="14"/>
      <c r="P14" s="14"/>
      <c r="Q14" s="12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 t="s">
        <v>7</v>
      </c>
    </row>
    <row r="15" spans="1:32" ht="15.75">
      <c r="A15" s="13">
        <f t="shared" si="1"/>
        <v>2007</v>
      </c>
      <c r="B15" s="14">
        <v>327138.93000000005</v>
      </c>
      <c r="C15" s="14">
        <v>667825.80000000005</v>
      </c>
      <c r="D15" s="14">
        <v>1221064.24</v>
      </c>
      <c r="E15" s="14">
        <v>1697077.74</v>
      </c>
      <c r="F15" s="14">
        <v>2239890</v>
      </c>
      <c r="G15" s="14">
        <v>2468219</v>
      </c>
      <c r="H15" s="14">
        <v>2574439</v>
      </c>
      <c r="I15" s="14">
        <v>2819279</v>
      </c>
      <c r="J15" s="14">
        <v>3233905</v>
      </c>
      <c r="K15" s="14">
        <v>3174352.51</v>
      </c>
      <c r="L15" s="14" t="s">
        <v>7</v>
      </c>
      <c r="M15" s="14" t="s">
        <v>7</v>
      </c>
      <c r="N15" s="14" t="s">
        <v>7</v>
      </c>
      <c r="O15" s="14"/>
      <c r="P15" s="14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 t="s">
        <v>7</v>
      </c>
    </row>
    <row r="16" spans="1:32" ht="15.75">
      <c r="A16" s="13">
        <f t="shared" si="1"/>
        <v>2008</v>
      </c>
      <c r="B16" s="14">
        <v>303592.51</v>
      </c>
      <c r="C16" s="14">
        <v>704761.55999999994</v>
      </c>
      <c r="D16" s="14">
        <v>1193811.97</v>
      </c>
      <c r="E16" s="14">
        <v>1517649</v>
      </c>
      <c r="F16" s="14">
        <v>1631896</v>
      </c>
      <c r="G16" s="14">
        <v>1735293</v>
      </c>
      <c r="H16" s="14">
        <v>1904538</v>
      </c>
      <c r="I16" s="14">
        <v>2243619</v>
      </c>
      <c r="J16" s="14">
        <v>2329891</v>
      </c>
      <c r="K16" s="14" t="s">
        <v>7</v>
      </c>
      <c r="L16" s="14" t="s">
        <v>7</v>
      </c>
      <c r="M16" s="14" t="s">
        <v>7</v>
      </c>
      <c r="N16" s="14" t="s">
        <v>7</v>
      </c>
      <c r="O16" s="14"/>
      <c r="P16" s="14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 t="s">
        <v>7</v>
      </c>
    </row>
    <row r="17" spans="1:32" ht="15.75">
      <c r="A17" s="13">
        <f t="shared" si="1"/>
        <v>2009</v>
      </c>
      <c r="B17" s="14">
        <v>501759.82999999996</v>
      </c>
      <c r="C17" s="14">
        <v>1005936.53</v>
      </c>
      <c r="D17" s="14">
        <v>1340913</v>
      </c>
      <c r="E17" s="14">
        <v>1545589</v>
      </c>
      <c r="F17" s="14">
        <v>2213662</v>
      </c>
      <c r="G17" s="14">
        <v>2370115</v>
      </c>
      <c r="H17" s="14">
        <v>2452890</v>
      </c>
      <c r="I17" s="14">
        <v>2463991.9700000002</v>
      </c>
      <c r="J17" s="14" t="s">
        <v>7</v>
      </c>
      <c r="K17" s="14" t="s">
        <v>7</v>
      </c>
      <c r="L17" s="14" t="s">
        <v>7</v>
      </c>
      <c r="M17" s="14" t="s">
        <v>7</v>
      </c>
      <c r="N17" s="14" t="s">
        <v>7</v>
      </c>
      <c r="O17" s="14"/>
      <c r="P17" s="14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 t="s">
        <v>7</v>
      </c>
    </row>
    <row r="18" spans="1:32" ht="15.75">
      <c r="A18" s="13">
        <f t="shared" si="1"/>
        <v>2010</v>
      </c>
      <c r="B18" s="14">
        <v>301144.82999999996</v>
      </c>
      <c r="C18" s="14">
        <v>658664</v>
      </c>
      <c r="D18" s="14">
        <v>1212189</v>
      </c>
      <c r="E18" s="14">
        <v>2430778</v>
      </c>
      <c r="F18" s="14">
        <v>2881963</v>
      </c>
      <c r="G18" s="14">
        <v>3049911</v>
      </c>
      <c r="H18" s="14">
        <v>3156139.46</v>
      </c>
      <c r="I18" s="14" t="s">
        <v>7</v>
      </c>
      <c r="J18" s="14" t="s">
        <v>7</v>
      </c>
      <c r="K18" s="14" t="s">
        <v>7</v>
      </c>
      <c r="L18" s="14" t="s">
        <v>7</v>
      </c>
      <c r="M18" s="14" t="s">
        <v>7</v>
      </c>
      <c r="N18" s="14" t="s">
        <v>7</v>
      </c>
      <c r="O18" s="14"/>
      <c r="P18" s="14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 t="s">
        <v>7</v>
      </c>
    </row>
    <row r="19" spans="1:32" ht="15.75">
      <c r="A19" s="13">
        <f t="shared" si="1"/>
        <v>2011</v>
      </c>
      <c r="B19" s="14">
        <v>266685</v>
      </c>
      <c r="C19" s="14">
        <v>1109352</v>
      </c>
      <c r="D19" s="14">
        <v>1959118</v>
      </c>
      <c r="E19" s="14">
        <v>3213095</v>
      </c>
      <c r="F19" s="14">
        <v>6149641</v>
      </c>
      <c r="G19" s="14">
        <v>6907218</v>
      </c>
      <c r="H19" s="14" t="s">
        <v>7</v>
      </c>
      <c r="I19" s="14" t="s">
        <v>7</v>
      </c>
      <c r="J19" s="14" t="s">
        <v>7</v>
      </c>
      <c r="K19" s="14" t="s">
        <v>7</v>
      </c>
      <c r="L19" s="14" t="s">
        <v>7</v>
      </c>
      <c r="M19" s="14" t="s">
        <v>7</v>
      </c>
      <c r="N19" s="14" t="s">
        <v>7</v>
      </c>
      <c r="O19" s="14"/>
      <c r="P19" s="14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 t="s">
        <v>7</v>
      </c>
    </row>
    <row r="20" spans="1:32" ht="15.75">
      <c r="A20" s="13">
        <f t="shared" si="1"/>
        <v>2012</v>
      </c>
      <c r="B20" s="14">
        <v>912098</v>
      </c>
      <c r="C20" s="14">
        <v>1686868</v>
      </c>
      <c r="D20" s="14">
        <v>1917266</v>
      </c>
      <c r="E20" s="14">
        <v>2745786</v>
      </c>
      <c r="F20" s="14">
        <v>4132680</v>
      </c>
      <c r="G20" s="14" t="s">
        <v>7</v>
      </c>
      <c r="H20" s="14" t="s">
        <v>7</v>
      </c>
      <c r="I20" s="14" t="s">
        <v>7</v>
      </c>
      <c r="J20" s="14" t="s">
        <v>7</v>
      </c>
      <c r="K20" s="14" t="s">
        <v>7</v>
      </c>
      <c r="L20" s="14" t="s">
        <v>7</v>
      </c>
      <c r="M20" s="14" t="s">
        <v>7</v>
      </c>
      <c r="N20" s="14" t="s">
        <v>7</v>
      </c>
      <c r="O20" s="14"/>
      <c r="P20" s="14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 t="s">
        <v>7</v>
      </c>
    </row>
    <row r="21" spans="1:32" ht="15.75">
      <c r="A21" s="13">
        <f t="shared" si="1"/>
        <v>2013</v>
      </c>
      <c r="B21" s="14">
        <v>338919</v>
      </c>
      <c r="C21" s="14">
        <v>901700</v>
      </c>
      <c r="D21" s="14">
        <v>1345545</v>
      </c>
      <c r="E21" s="14">
        <v>1766812.92</v>
      </c>
      <c r="F21" s="14" t="s">
        <v>7</v>
      </c>
      <c r="G21" s="14" t="s">
        <v>7</v>
      </c>
      <c r="H21" s="14" t="s">
        <v>7</v>
      </c>
      <c r="I21" s="14" t="s">
        <v>7</v>
      </c>
      <c r="J21" s="14" t="s">
        <v>7</v>
      </c>
      <c r="K21" s="14" t="s">
        <v>7</v>
      </c>
      <c r="L21" s="14" t="s">
        <v>7</v>
      </c>
      <c r="M21" s="14" t="s">
        <v>7</v>
      </c>
      <c r="N21" s="14" t="s">
        <v>7</v>
      </c>
      <c r="O21" s="14"/>
      <c r="P21" s="14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 t="s">
        <v>7</v>
      </c>
    </row>
    <row r="22" spans="1:32" ht="15.75">
      <c r="A22" s="13">
        <f t="shared" si="1"/>
        <v>2014</v>
      </c>
      <c r="B22" s="14">
        <v>338929</v>
      </c>
      <c r="C22" s="14">
        <v>801962</v>
      </c>
      <c r="D22" s="14">
        <v>1655619</v>
      </c>
      <c r="E22" s="14" t="s">
        <v>7</v>
      </c>
      <c r="F22" s="14" t="s">
        <v>7</v>
      </c>
      <c r="G22" s="14" t="s">
        <v>7</v>
      </c>
      <c r="H22" s="14" t="s">
        <v>7</v>
      </c>
      <c r="I22" s="14" t="s">
        <v>7</v>
      </c>
      <c r="J22" s="14" t="s">
        <v>7</v>
      </c>
      <c r="K22" s="14" t="s">
        <v>7</v>
      </c>
      <c r="L22" s="14" t="s">
        <v>7</v>
      </c>
      <c r="M22" s="14" t="s">
        <v>7</v>
      </c>
      <c r="N22" s="14" t="s">
        <v>7</v>
      </c>
      <c r="O22" s="14"/>
      <c r="P22" s="14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 t="s">
        <v>7</v>
      </c>
    </row>
    <row r="23" spans="1:32" ht="15.75">
      <c r="A23" s="13">
        <f>+A24-1</f>
        <v>2015</v>
      </c>
      <c r="B23" s="14">
        <v>345581</v>
      </c>
      <c r="C23" s="14">
        <v>629188</v>
      </c>
      <c r="D23" s="14" t="s">
        <v>7</v>
      </c>
      <c r="E23" s="14" t="s">
        <v>7</v>
      </c>
      <c r="F23" s="14" t="s">
        <v>7</v>
      </c>
      <c r="G23" s="14" t="s">
        <v>7</v>
      </c>
      <c r="H23" s="14" t="s">
        <v>7</v>
      </c>
      <c r="I23" s="14" t="s">
        <v>7</v>
      </c>
      <c r="J23" s="14" t="s">
        <v>7</v>
      </c>
      <c r="K23" s="14" t="s">
        <v>7</v>
      </c>
      <c r="L23" s="14" t="s">
        <v>7</v>
      </c>
      <c r="M23" s="14" t="s">
        <v>7</v>
      </c>
      <c r="N23" s="14" t="s">
        <v>7</v>
      </c>
      <c r="O23" s="14"/>
      <c r="P23" s="14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 t="s">
        <v>7</v>
      </c>
    </row>
    <row r="24" spans="1:32">
      <c r="A24" s="16">
        <f>+EndYear</f>
        <v>2016</v>
      </c>
      <c r="B24" s="14">
        <v>383397</v>
      </c>
      <c r="C24" s="14" t="s">
        <v>7</v>
      </c>
      <c r="D24" s="14" t="s">
        <v>7</v>
      </c>
      <c r="E24" s="14" t="s">
        <v>7</v>
      </c>
      <c r="F24" s="14" t="s">
        <v>7</v>
      </c>
      <c r="G24" s="14" t="s">
        <v>7</v>
      </c>
      <c r="H24" s="14" t="s">
        <v>7</v>
      </c>
      <c r="I24" s="14" t="s">
        <v>7</v>
      </c>
      <c r="J24" s="14" t="s">
        <v>7</v>
      </c>
      <c r="K24" s="14" t="s">
        <v>7</v>
      </c>
      <c r="L24" s="14" t="s">
        <v>7</v>
      </c>
      <c r="M24" s="14" t="s">
        <v>7</v>
      </c>
      <c r="N24" s="14" t="s">
        <v>7</v>
      </c>
      <c r="O24" s="14"/>
      <c r="P24" s="14"/>
      <c r="T24" s="18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>
      <c r="S25" s="245"/>
    </row>
    <row r="26" spans="1:32">
      <c r="A26" s="21" t="str">
        <f>'[1]Exercise 6 - Paid-Ldfs'!$A$10</f>
        <v>Accident</v>
      </c>
      <c r="B26" s="6" t="s">
        <v>8</v>
      </c>
      <c r="C26" s="6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/>
    </row>
    <row r="27" spans="1:32">
      <c r="A27" s="8" t="s">
        <v>5</v>
      </c>
      <c r="B27" s="24" t="s">
        <v>9</v>
      </c>
      <c r="C27" s="24" t="s">
        <v>10</v>
      </c>
      <c r="D27" s="24" t="s">
        <v>11</v>
      </c>
      <c r="E27" s="24" t="s">
        <v>12</v>
      </c>
      <c r="F27" s="24" t="s">
        <v>13</v>
      </c>
      <c r="G27" s="24" t="s">
        <v>14</v>
      </c>
      <c r="H27" s="24" t="s">
        <v>15</v>
      </c>
      <c r="I27" s="24" t="s">
        <v>16</v>
      </c>
      <c r="J27" s="24" t="s">
        <v>17</v>
      </c>
      <c r="K27" s="24" t="s">
        <v>18</v>
      </c>
      <c r="L27" s="24" t="s">
        <v>19</v>
      </c>
      <c r="M27" s="24" t="s">
        <v>20</v>
      </c>
      <c r="N27" s="24" t="s">
        <v>21</v>
      </c>
      <c r="O27" s="24" t="s">
        <v>22</v>
      </c>
      <c r="P27" s="24" t="s">
        <v>23</v>
      </c>
    </row>
    <row r="28" spans="1:32">
      <c r="A28" s="25"/>
    </row>
    <row r="29" spans="1:32">
      <c r="A29" s="25">
        <f>+A10</f>
        <v>2002</v>
      </c>
      <c r="B29" s="19">
        <f>ROUND(C10/B10,3)</f>
        <v>3.0289999999999999</v>
      </c>
      <c r="C29" s="19">
        <f t="shared" ref="C29:N41" si="2">ROUND(D10/C10,3)</f>
        <v>1.835</v>
      </c>
      <c r="D29" s="19">
        <f t="shared" si="2"/>
        <v>1.2989999999999999</v>
      </c>
      <c r="E29" s="19">
        <f t="shared" si="2"/>
        <v>1.2130000000000001</v>
      </c>
      <c r="F29" s="19">
        <f t="shared" si="2"/>
        <v>1.054</v>
      </c>
      <c r="G29" s="19">
        <f t="shared" si="2"/>
        <v>1.028</v>
      </c>
      <c r="H29" s="19">
        <f t="shared" si="2"/>
        <v>1.012</v>
      </c>
      <c r="I29" s="19">
        <f t="shared" si="2"/>
        <v>1.0169999999999999</v>
      </c>
      <c r="J29" s="19">
        <f t="shared" si="2"/>
        <v>1.016</v>
      </c>
      <c r="K29" s="19">
        <f t="shared" si="2"/>
        <v>1.119</v>
      </c>
      <c r="L29" s="19">
        <f t="shared" si="2"/>
        <v>1.056</v>
      </c>
      <c r="M29" s="19">
        <f t="shared" si="2"/>
        <v>1.0049999999999999</v>
      </c>
      <c r="N29" s="19">
        <f t="shared" si="2"/>
        <v>1.01</v>
      </c>
      <c r="O29" s="19">
        <f>ROUND(P10/O10,3)</f>
        <v>1</v>
      </c>
    </row>
    <row r="30" spans="1:32">
      <c r="A30" s="25">
        <f t="shared" ref="A30:A43" si="3">+A11</f>
        <v>2003</v>
      </c>
      <c r="B30" s="19">
        <f t="shared" ref="B30:B42" si="4">ROUND(C11/B11,3)</f>
        <v>3.9380000000000002</v>
      </c>
      <c r="C30" s="19">
        <f t="shared" si="2"/>
        <v>1.9079999999999999</v>
      </c>
      <c r="D30" s="19">
        <f t="shared" si="2"/>
        <v>1.206</v>
      </c>
      <c r="E30" s="19">
        <f t="shared" si="2"/>
        <v>1.028</v>
      </c>
      <c r="F30" s="19">
        <f t="shared" si="2"/>
        <v>1.0329999999999999</v>
      </c>
      <c r="G30" s="19">
        <f t="shared" si="2"/>
        <v>1.0089999999999999</v>
      </c>
      <c r="H30" s="19">
        <f t="shared" si="2"/>
        <v>1.012</v>
      </c>
      <c r="I30" s="19">
        <f t="shared" si="2"/>
        <v>1.0069999999999999</v>
      </c>
      <c r="J30" s="19">
        <f t="shared" si="2"/>
        <v>1.002</v>
      </c>
      <c r="K30" s="19">
        <f t="shared" si="2"/>
        <v>1.0089999999999999</v>
      </c>
      <c r="L30" s="19">
        <f t="shared" si="2"/>
        <v>1.018</v>
      </c>
      <c r="M30" s="19">
        <f t="shared" si="2"/>
        <v>1.139</v>
      </c>
      <c r="N30" s="19">
        <f t="shared" si="2"/>
        <v>0.99399999999999999</v>
      </c>
    </row>
    <row r="31" spans="1:32">
      <c r="A31" s="25">
        <f t="shared" si="3"/>
        <v>2004</v>
      </c>
      <c r="B31" s="19">
        <f t="shared" si="4"/>
        <v>2.8130000000000002</v>
      </c>
      <c r="C31" s="19">
        <f t="shared" si="2"/>
        <v>2.1309999999999998</v>
      </c>
      <c r="D31" s="19">
        <f t="shared" si="2"/>
        <v>1.258</v>
      </c>
      <c r="E31" s="19">
        <f t="shared" si="2"/>
        <v>1.278</v>
      </c>
      <c r="F31" s="19">
        <f t="shared" si="2"/>
        <v>1.0189999999999999</v>
      </c>
      <c r="G31" s="19">
        <f t="shared" si="2"/>
        <v>1.0049999999999999</v>
      </c>
      <c r="H31" s="19">
        <f t="shared" si="2"/>
        <v>1</v>
      </c>
      <c r="I31" s="19">
        <f t="shared" si="2"/>
        <v>1</v>
      </c>
      <c r="J31" s="19">
        <f t="shared" si="2"/>
        <v>1</v>
      </c>
      <c r="K31" s="19">
        <f t="shared" si="2"/>
        <v>1.018</v>
      </c>
      <c r="L31" s="19">
        <f t="shared" si="2"/>
        <v>1.163</v>
      </c>
      <c r="M31" s="19">
        <f t="shared" si="2"/>
        <v>1.0029999999999999</v>
      </c>
    </row>
    <row r="32" spans="1:32">
      <c r="A32" s="25">
        <f t="shared" si="3"/>
        <v>2005</v>
      </c>
      <c r="B32" s="19">
        <f>ROUND(C13/B13,3)</f>
        <v>2.5329999999999999</v>
      </c>
      <c r="C32" s="19">
        <f t="shared" si="2"/>
        <v>1.3740000000000001</v>
      </c>
      <c r="D32" s="19">
        <f t="shared" si="2"/>
        <v>1.544</v>
      </c>
      <c r="E32" s="19">
        <f t="shared" si="2"/>
        <v>1.3640000000000001</v>
      </c>
      <c r="F32" s="19">
        <f t="shared" si="2"/>
        <v>1.127</v>
      </c>
      <c r="G32" s="19">
        <f t="shared" si="2"/>
        <v>1.0760000000000001</v>
      </c>
      <c r="H32" s="19">
        <f t="shared" si="2"/>
        <v>1.0249999999999999</v>
      </c>
      <c r="I32" s="19">
        <f t="shared" si="2"/>
        <v>1.0469999999999999</v>
      </c>
      <c r="J32" s="19">
        <f t="shared" si="2"/>
        <v>1.0469999999999999</v>
      </c>
      <c r="K32" s="19">
        <f t="shared" si="2"/>
        <v>1.32</v>
      </c>
      <c r="L32" s="19">
        <f t="shared" si="2"/>
        <v>0.98899999999999999</v>
      </c>
    </row>
    <row r="33" spans="1:17">
      <c r="A33" s="25">
        <f t="shared" si="3"/>
        <v>2006</v>
      </c>
      <c r="B33" s="19">
        <f t="shared" si="4"/>
        <v>1.7729999999999999</v>
      </c>
      <c r="C33" s="19">
        <f t="shared" si="2"/>
        <v>2.2490000000000001</v>
      </c>
      <c r="D33" s="19">
        <f t="shared" si="2"/>
        <v>1.681</v>
      </c>
      <c r="E33" s="19">
        <f t="shared" si="2"/>
        <v>1.163</v>
      </c>
      <c r="F33" s="19">
        <f t="shared" si="2"/>
        <v>1.1539999999999999</v>
      </c>
      <c r="G33" s="19">
        <f t="shared" si="2"/>
        <v>1.0469999999999999</v>
      </c>
      <c r="H33" s="19">
        <f t="shared" si="2"/>
        <v>1.0429999999999999</v>
      </c>
      <c r="I33" s="19">
        <f t="shared" si="2"/>
        <v>1.0669999999999999</v>
      </c>
      <c r="J33" s="19">
        <f t="shared" si="2"/>
        <v>1.022</v>
      </c>
      <c r="K33" s="19">
        <f t="shared" si="2"/>
        <v>1.1080000000000001</v>
      </c>
    </row>
    <row r="34" spans="1:17">
      <c r="A34" s="25">
        <f t="shared" si="3"/>
        <v>2007</v>
      </c>
      <c r="B34" s="19">
        <f t="shared" si="4"/>
        <v>2.0409999999999999</v>
      </c>
      <c r="C34" s="19">
        <f t="shared" si="2"/>
        <v>1.8280000000000001</v>
      </c>
      <c r="D34" s="19">
        <f t="shared" si="2"/>
        <v>1.39</v>
      </c>
      <c r="E34" s="19">
        <f t="shared" si="2"/>
        <v>1.32</v>
      </c>
      <c r="F34" s="19">
        <f t="shared" si="2"/>
        <v>1.1020000000000001</v>
      </c>
      <c r="G34" s="19">
        <f t="shared" si="2"/>
        <v>1.0429999999999999</v>
      </c>
      <c r="H34" s="19">
        <f t="shared" si="2"/>
        <v>1.095</v>
      </c>
      <c r="I34" s="19">
        <f t="shared" si="2"/>
        <v>1.147</v>
      </c>
      <c r="J34" s="19">
        <f t="shared" si="2"/>
        <v>0.98199999999999998</v>
      </c>
      <c r="K34" s="19"/>
      <c r="L34" s="19"/>
      <c r="M34" s="19"/>
      <c r="N34" s="19"/>
      <c r="O34" s="19"/>
      <c r="P34" s="19"/>
    </row>
    <row r="35" spans="1:17">
      <c r="A35" s="25">
        <f t="shared" si="3"/>
        <v>2008</v>
      </c>
      <c r="B35" s="19">
        <f t="shared" si="4"/>
        <v>2.3210000000000002</v>
      </c>
      <c r="C35" s="19">
        <f t="shared" si="2"/>
        <v>1.694</v>
      </c>
      <c r="D35" s="19">
        <f t="shared" si="2"/>
        <v>1.2709999999999999</v>
      </c>
      <c r="E35" s="19">
        <f t="shared" si="2"/>
        <v>1.075</v>
      </c>
      <c r="F35" s="19">
        <f t="shared" si="2"/>
        <v>1.0629999999999999</v>
      </c>
      <c r="G35" s="19">
        <f t="shared" si="2"/>
        <v>1.0980000000000001</v>
      </c>
      <c r="H35" s="19">
        <f t="shared" si="2"/>
        <v>1.1779999999999999</v>
      </c>
      <c r="I35" s="19">
        <f t="shared" si="2"/>
        <v>1.038</v>
      </c>
      <c r="J35" s="19"/>
      <c r="K35" s="19"/>
      <c r="L35" s="19"/>
      <c r="M35" s="19"/>
      <c r="N35" s="19"/>
      <c r="O35" s="19"/>
      <c r="P35" s="19"/>
    </row>
    <row r="36" spans="1:17">
      <c r="A36" s="25">
        <f t="shared" si="3"/>
        <v>2009</v>
      </c>
      <c r="B36" s="19">
        <f t="shared" si="4"/>
        <v>2.0049999999999999</v>
      </c>
      <c r="C36" s="19">
        <f t="shared" si="2"/>
        <v>1.333</v>
      </c>
      <c r="D36" s="19">
        <f t="shared" si="2"/>
        <v>1.153</v>
      </c>
      <c r="E36" s="19">
        <f t="shared" si="2"/>
        <v>1.4319999999999999</v>
      </c>
      <c r="F36" s="19">
        <f t="shared" si="2"/>
        <v>1.071</v>
      </c>
      <c r="G36" s="19">
        <f t="shared" si="2"/>
        <v>1.0349999999999999</v>
      </c>
      <c r="H36" s="19">
        <f t="shared" si="2"/>
        <v>1.0049999999999999</v>
      </c>
      <c r="I36" s="19"/>
      <c r="J36" s="19"/>
      <c r="K36" s="19"/>
      <c r="L36" s="19"/>
      <c r="M36" s="19"/>
      <c r="N36" s="19"/>
      <c r="O36" s="19"/>
      <c r="P36" s="19"/>
    </row>
    <row r="37" spans="1:17">
      <c r="A37" s="25">
        <f t="shared" si="3"/>
        <v>2010</v>
      </c>
      <c r="B37" s="19">
        <f t="shared" si="4"/>
        <v>2.1869999999999998</v>
      </c>
      <c r="C37" s="19">
        <f t="shared" si="2"/>
        <v>1.84</v>
      </c>
      <c r="D37" s="19">
        <f t="shared" si="2"/>
        <v>2.0049999999999999</v>
      </c>
      <c r="E37" s="19">
        <f t="shared" si="2"/>
        <v>1.1859999999999999</v>
      </c>
      <c r="F37" s="19">
        <f t="shared" si="2"/>
        <v>1.0580000000000001</v>
      </c>
      <c r="G37" s="19">
        <f t="shared" si="2"/>
        <v>1.0349999999999999</v>
      </c>
      <c r="H37" s="19"/>
      <c r="I37" s="19"/>
      <c r="J37" s="19"/>
      <c r="K37" s="19"/>
      <c r="L37" s="19"/>
      <c r="M37" s="19"/>
      <c r="N37" s="19"/>
      <c r="O37" s="19"/>
      <c r="P37" s="19"/>
    </row>
    <row r="38" spans="1:17">
      <c r="A38" s="25">
        <f t="shared" si="3"/>
        <v>2011</v>
      </c>
      <c r="B38" s="19">
        <f t="shared" si="4"/>
        <v>4.16</v>
      </c>
      <c r="C38" s="19">
        <f t="shared" si="2"/>
        <v>1.766</v>
      </c>
      <c r="D38" s="19">
        <f t="shared" si="2"/>
        <v>1.64</v>
      </c>
      <c r="E38" s="19">
        <f t="shared" si="2"/>
        <v>1.9139999999999999</v>
      </c>
      <c r="F38" s="19">
        <f t="shared" si="2"/>
        <v>1.123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7">
      <c r="A39" s="25">
        <f t="shared" si="3"/>
        <v>2012</v>
      </c>
      <c r="B39" s="19">
        <f t="shared" si="4"/>
        <v>1.849</v>
      </c>
      <c r="C39" s="19">
        <f t="shared" si="2"/>
        <v>1.137</v>
      </c>
      <c r="D39" s="19">
        <f t="shared" si="2"/>
        <v>1.4319999999999999</v>
      </c>
      <c r="E39" s="19">
        <f t="shared" si="2"/>
        <v>1.5049999999999999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7">
      <c r="A40" s="25">
        <f t="shared" si="3"/>
        <v>2013</v>
      </c>
      <c r="B40" s="19">
        <f t="shared" si="4"/>
        <v>2.661</v>
      </c>
      <c r="C40" s="19">
        <f t="shared" si="2"/>
        <v>1.492</v>
      </c>
      <c r="D40" s="19">
        <f t="shared" si="2"/>
        <v>1.3129999999999999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7">
      <c r="A41" s="25">
        <f t="shared" si="3"/>
        <v>2014</v>
      </c>
      <c r="B41" s="19">
        <f t="shared" si="4"/>
        <v>2.3660000000000001</v>
      </c>
      <c r="C41" s="19">
        <f t="shared" si="2"/>
        <v>2.0640000000000001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7">
      <c r="A42" s="25">
        <f t="shared" si="3"/>
        <v>2015</v>
      </c>
      <c r="B42" s="19">
        <f t="shared" si="4"/>
        <v>1.821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7">
      <c r="A43" s="26">
        <f t="shared" si="3"/>
        <v>2016</v>
      </c>
      <c r="B43" s="331"/>
      <c r="C43" s="332"/>
      <c r="D43" s="332"/>
      <c r="E43" s="332"/>
      <c r="F43" s="332"/>
      <c r="G43" s="332"/>
      <c r="H43" s="332"/>
      <c r="I43" s="332"/>
      <c r="J43" s="332"/>
      <c r="K43" s="332"/>
      <c r="L43" s="332"/>
      <c r="M43" s="332"/>
      <c r="N43" s="332"/>
      <c r="O43" s="332"/>
      <c r="P43" s="332"/>
    </row>
    <row r="44" spans="1:17">
      <c r="A44" s="11"/>
      <c r="B44" s="28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7">
      <c r="A45" s="29" t="s">
        <v>24</v>
      </c>
      <c r="B45" s="29"/>
    </row>
    <row r="46" spans="1:17">
      <c r="A46" s="29" t="s">
        <v>25</v>
      </c>
      <c r="B46" s="19">
        <f>ROUND(AVERAGE(B40:B42),3)</f>
        <v>2.2829999999999999</v>
      </c>
      <c r="C46" s="19">
        <f>ROUND(AVERAGE(C39:C41),3)</f>
        <v>1.5640000000000001</v>
      </c>
      <c r="D46" s="19">
        <f>ROUND(AVERAGE(D38:D40),3)</f>
        <v>1.462</v>
      </c>
      <c r="E46" s="19">
        <f>ROUND(AVERAGE(E37:E39),3)</f>
        <v>1.5349999999999999</v>
      </c>
      <c r="F46" s="19">
        <f>ROUND(AVERAGE(F36:F38),3)</f>
        <v>1.0840000000000001</v>
      </c>
      <c r="G46" s="19">
        <f>ROUND(AVERAGE(G35:G37),3)</f>
        <v>1.056</v>
      </c>
      <c r="H46" s="19">
        <f>ROUND(AVERAGE(H34:H36),3)</f>
        <v>1.093</v>
      </c>
      <c r="I46" s="19">
        <f>ROUND(AVERAGE(I33:I35),3)</f>
        <v>1.0840000000000001</v>
      </c>
      <c r="J46" s="19">
        <f>ROUND(AVERAGE(J32:J34),3)</f>
        <v>1.0169999999999999</v>
      </c>
      <c r="K46" s="19">
        <f>ROUND(AVERAGE(K31:K33),3)</f>
        <v>1.149</v>
      </c>
      <c r="L46" s="19">
        <f>ROUND(AVERAGE(L30:L32),3)</f>
        <v>1.0569999999999999</v>
      </c>
      <c r="M46" s="19">
        <f>ROUND(AVERAGE(M29:M31),3)</f>
        <v>1.0489999999999999</v>
      </c>
      <c r="N46" s="19"/>
      <c r="O46" s="19"/>
      <c r="P46" s="19"/>
    </row>
    <row r="47" spans="1:17">
      <c r="A47" s="29" t="s">
        <v>26</v>
      </c>
      <c r="B47" s="19">
        <f>ROUND(AVERAGE(B38:B42),3)</f>
        <v>2.5710000000000002</v>
      </c>
      <c r="C47" s="19">
        <f>ROUND(AVERAGE(C37:C41),3)</f>
        <v>1.66</v>
      </c>
      <c r="D47" s="19">
        <f>ROUND(AVERAGE(D36:D40),3)</f>
        <v>1.5089999999999999</v>
      </c>
      <c r="E47" s="19">
        <f>ROUND(AVERAGE(E35:E39),3)</f>
        <v>1.4219999999999999</v>
      </c>
      <c r="F47" s="19">
        <f>ROUND(AVERAGE(F34:F38),3)</f>
        <v>1.083</v>
      </c>
      <c r="G47" s="19">
        <f>ROUND(AVERAGE(G33:G37),3)</f>
        <v>1.052</v>
      </c>
      <c r="H47" s="19">
        <f>ROUND(AVERAGE(H32:H36),3)</f>
        <v>1.069</v>
      </c>
      <c r="I47" s="19">
        <f>ROUND(AVERAGE(I31:I35),3)</f>
        <v>1.06</v>
      </c>
      <c r="J47" s="19">
        <f>ROUND(AVERAGE(J30:J34),3)</f>
        <v>1.0109999999999999</v>
      </c>
      <c r="K47" s="19">
        <f>ROUND(AVERAGE(K29:K33),3)</f>
        <v>1.115</v>
      </c>
      <c r="L47" s="19"/>
      <c r="M47" s="19"/>
      <c r="N47" s="19"/>
      <c r="O47" s="19"/>
      <c r="P47" s="19"/>
    </row>
    <row r="48" spans="1:17">
      <c r="A48" s="29" t="s">
        <v>27</v>
      </c>
      <c r="B48" s="19">
        <f>ROUND((SUM(B38:B42)-MAX(B38:B42)-MIN(B38:B42))/3,3)</f>
        <v>2.2919999999999998</v>
      </c>
      <c r="C48" s="19">
        <f>ROUND((SUM(C37:C41)-MAX(C37:C41)-MIN(C37:C41))/3,3)</f>
        <v>1.6990000000000001</v>
      </c>
      <c r="D48" s="19">
        <f>ROUND((SUM(D36:D40)-MAX(D36:D40)-MIN(D36:D40))/3,3)</f>
        <v>1.462</v>
      </c>
      <c r="E48" s="19">
        <f>ROUND((SUM(E35:E39)-MAX(E35:E39)-MIN(E35:E39))/3,3)</f>
        <v>1.3740000000000001</v>
      </c>
      <c r="F48" s="19">
        <f>ROUND((SUM(F34:F38)-MAX(F34:F38)-MIN(F34:F38))/3,3)</f>
        <v>1.079</v>
      </c>
      <c r="G48" s="19">
        <f>ROUND((SUM(G33:G37)-MAX(G33:G37)-MIN(G33:G37))/3,3)</f>
        <v>1.042</v>
      </c>
      <c r="H48" s="19">
        <f>ROUND((SUM(H32:H36)-MAX(H32:H36)-MIN(H32:H36))/3,3)</f>
        <v>1.054</v>
      </c>
      <c r="I48" s="19">
        <f>ROUND((SUM(I31:I35)-MAX(I31:I35)-MIN(I31:I35))/3,3)</f>
        <v>1.0509999999999999</v>
      </c>
      <c r="J48" s="19">
        <f>ROUND((SUM(J30:J34)-MAX(J30:J34)-MIN(J30:J34))/3,3)</f>
        <v>1.008</v>
      </c>
      <c r="K48" s="19">
        <f>ROUND((SUM(K29:K33)-MAX(K29:K33)-MIN(K29:K33))/3,3)</f>
        <v>1.0820000000000001</v>
      </c>
      <c r="L48" s="19"/>
      <c r="N48" s="19"/>
      <c r="O48" s="19"/>
      <c r="P48" s="19"/>
      <c r="Q48" s="28"/>
    </row>
    <row r="49" spans="1:17">
      <c r="A49" s="30" t="s">
        <v>28</v>
      </c>
      <c r="B49" s="19">
        <f>AVERAGE(B28:B43)</f>
        <v>2.5354999999999999</v>
      </c>
      <c r="C49" s="19">
        <f>AVERAGE(C27:C42)</f>
        <v>1.7423846153846154</v>
      </c>
      <c r="D49" s="19">
        <f>AVERAGE(D26:D41)</f>
        <v>1.432666666666667</v>
      </c>
      <c r="E49" s="19">
        <f>AVERAGE(E25:E40)</f>
        <v>1.3161818181818183</v>
      </c>
      <c r="F49" s="19">
        <f>AVERAGE(F25:F39)</f>
        <v>1.0803999999999998</v>
      </c>
      <c r="G49" s="19">
        <f>AVERAGE(G24:G38)</f>
        <v>1.0417777777777777</v>
      </c>
      <c r="H49" s="19">
        <f>AVERAGE(H23:H37)</f>
        <v>1.0462499999999999</v>
      </c>
      <c r="I49" s="19">
        <f>AVERAGE(I22:I36)</f>
        <v>1.0461428571428573</v>
      </c>
      <c r="J49" s="19">
        <f>AVERAGE(J21:J35)</f>
        <v>1.0115000000000001</v>
      </c>
      <c r="K49" s="19">
        <f>AVERAGE(K20:K34)</f>
        <v>1.1148</v>
      </c>
      <c r="L49" s="19">
        <f>AVERAGE(L19:L33)</f>
        <v>1.0565</v>
      </c>
      <c r="M49" s="19">
        <f>AVERAGE(M18:M32)</f>
        <v>1.0490000000000002</v>
      </c>
      <c r="N49" s="19">
        <f>AVERAGE(N17:N31)</f>
        <v>1.002</v>
      </c>
      <c r="O49" s="19">
        <f>AVERAGE(O17:O31)</f>
        <v>1</v>
      </c>
      <c r="P49" s="19"/>
      <c r="Q49" s="28"/>
    </row>
    <row r="50" spans="1:17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8"/>
    </row>
    <row r="51" spans="1:17">
      <c r="A51" s="29" t="s">
        <v>29</v>
      </c>
      <c r="B51" s="19">
        <f>ROUND(SUM(C21:C23)/SUM(B21:B23),3)</f>
        <v>2.2789999999999999</v>
      </c>
      <c r="C51" s="19">
        <f>ROUND(SUM(D20:D22)/SUM(C20:C22),3)</f>
        <v>1.4510000000000001</v>
      </c>
      <c r="D51" s="19">
        <f>ROUND(SUM(E19:E21)/SUM(D19:D21),3)</f>
        <v>1.4790000000000001</v>
      </c>
      <c r="E51" s="19">
        <f>ROUND(SUM(F18:F20)/SUM(E18:E20),3)</f>
        <v>1.569</v>
      </c>
      <c r="F51" s="19">
        <f>ROUND(SUM(G17:G19)/SUM(F17:F19),3)</f>
        <v>1.0960000000000001</v>
      </c>
      <c r="G51" s="19">
        <f>ROUND(SUM(H16:H18)/SUM(G16:G18),3)</f>
        <v>1.05</v>
      </c>
      <c r="H51" s="19">
        <f>ROUND(SUM(I15:I17)/SUM(H15:H17),3)</f>
        <v>1.0860000000000001</v>
      </c>
      <c r="I51" s="19">
        <f>ROUND(SUM(J14:J16)/SUM(I14:I16),3)</f>
        <v>1.0860000000000001</v>
      </c>
      <c r="J51" s="19">
        <f>ROUND(SUM(K13:K15)/SUM(J13:J15),3)</f>
        <v>1.018</v>
      </c>
      <c r="K51" s="19">
        <f>ROUND(SUM(L12:L14)/SUM(K12:K14),3)</f>
        <v>1.1419999999999999</v>
      </c>
      <c r="L51" s="19">
        <f>ROUND(SUM(M11:M13)/SUM(L11:L13),3)</f>
        <v>1.056</v>
      </c>
      <c r="M51" s="19">
        <f>ROUND(SUM(N10:N12)/SUM(M10:M12),3)</f>
        <v>1.038</v>
      </c>
      <c r="N51" s="19">
        <f>ROUND(SUM(O9:O11)/SUM(N9:N11),3)</f>
        <v>1.0029999999999999</v>
      </c>
      <c r="O51" s="19"/>
      <c r="P51" s="19"/>
      <c r="Q51" s="28"/>
    </row>
    <row r="52" spans="1:17">
      <c r="A52" s="29" t="s">
        <v>30</v>
      </c>
      <c r="B52" s="19">
        <f>ROUND(SUM(C19:C23)/SUM(B19:B23),3)</f>
        <v>2.3290000000000002</v>
      </c>
      <c r="C52" s="19">
        <f>ROUND(SUM(D18:D22)/SUM(C18:C22),3)</f>
        <v>1.5680000000000001</v>
      </c>
      <c r="D52" s="19">
        <f>ROUND(SUM(E17:E21)/SUM(D17:D21),3)</f>
        <v>1.5049999999999999</v>
      </c>
      <c r="E52" s="19">
        <f>ROUND(SUM(F16:F20)/SUM(E16:E20),3)</f>
        <v>1.4850000000000001</v>
      </c>
      <c r="F52" s="19">
        <f>ROUND(SUM(G15:G19)/SUM(F15:F19),3)</f>
        <v>1.0940000000000001</v>
      </c>
      <c r="G52" s="19">
        <f>ROUND(SUM(H14:H18)/SUM(G14:G18),3)</f>
        <v>1.048</v>
      </c>
      <c r="H52" s="19">
        <f>ROUND(SUM(I13:I17)/SUM(H13:H17),3)</f>
        <v>1.0609999999999999</v>
      </c>
      <c r="I52" s="19">
        <f>ROUND(SUM(J12:J16)/SUM(I12:I16),3)</f>
        <v>1.0569999999999999</v>
      </c>
      <c r="J52" s="19">
        <f>ROUND(SUM(K11:K15)/SUM(J11:J15),3)</f>
        <v>1.0109999999999999</v>
      </c>
      <c r="K52" s="19">
        <f>ROUND(SUM(L10:L14)/SUM(K10:K14),3)</f>
        <v>1.117</v>
      </c>
      <c r="L52" s="19">
        <f>ROUND(SUM(M9:M13)/SUM(L9:L13),3)</f>
        <v>1.056</v>
      </c>
      <c r="P52" s="19"/>
      <c r="Q52" s="28"/>
    </row>
    <row r="53" spans="1:17">
      <c r="A53" s="30" t="s">
        <v>28</v>
      </c>
      <c r="B53" s="19">
        <f>SUM(C$10:C23)/SUM(B$10:B23)</f>
        <v>2.4129749888322523</v>
      </c>
      <c r="C53" s="19">
        <f>SUM(D$10:D22)/SUM(C$10:C22)</f>
        <v>1.6957085961308884</v>
      </c>
      <c r="D53" s="19">
        <f>SUM(E$10:E21)/SUM(D$10:D21)</f>
        <v>1.41543224729529</v>
      </c>
      <c r="E53" s="19">
        <f>SUM(F$10:F20)/SUM(E$10:E20)</f>
        <v>1.3376450924171666</v>
      </c>
      <c r="F53" s="19">
        <f>SUM(G$10:G19)/SUM(F$10:F19)</f>
        <v>1.0834172623253318</v>
      </c>
      <c r="G53" s="19">
        <f>SUM(H$10:H18)/SUM(G$10:G18)</f>
        <v>1.0380562694783597</v>
      </c>
      <c r="H53" s="19">
        <f>SUM(I$10:I17)/SUM(H$10:H17)</f>
        <v>1.0382928920284855</v>
      </c>
      <c r="I53" s="19">
        <f>SUM(J$10:J16)/SUM(I$10:I16)</f>
        <v>1.0444898135880514</v>
      </c>
      <c r="J53" s="19">
        <f>SUM(K$10:K15)/SUM(J$10:J15)</f>
        <v>1.0118024675942687</v>
      </c>
      <c r="K53" s="19">
        <f>SUM(L$10:L14)/SUM(K$10:K14)</f>
        <v>1.1166213585352998</v>
      </c>
      <c r="L53" s="19">
        <f>SUM(M$10:M13)/SUM(L$10:L13)</f>
        <v>1.0562648654762887</v>
      </c>
      <c r="M53" s="19">
        <f>SUM(N$10:N12)/SUM(M$10:M12)</f>
        <v>1.0379065475809608</v>
      </c>
      <c r="N53" s="19">
        <f>SUM(O$10:O11)/SUM(N$10:N11)</f>
        <v>1.0030268684147758</v>
      </c>
      <c r="O53" s="19">
        <f>SUM(P$10:P10)/SUM(O$10:O10)</f>
        <v>1</v>
      </c>
      <c r="P53" s="19"/>
      <c r="Q53" s="28"/>
    </row>
    <row r="54" spans="1:17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8"/>
    </row>
    <row r="55" spans="1:17">
      <c r="A55" s="2" t="s">
        <v>31</v>
      </c>
      <c r="B55" s="19">
        <v>1.9850000000000001</v>
      </c>
      <c r="C55" s="19">
        <v>1.585</v>
      </c>
      <c r="D55" s="19">
        <v>1.35</v>
      </c>
      <c r="E55" s="19">
        <v>1.2170000000000001</v>
      </c>
      <c r="F55" s="19">
        <v>1.113</v>
      </c>
      <c r="G55" s="19">
        <v>1.0820000000000001</v>
      </c>
      <c r="H55" s="19">
        <v>1.048</v>
      </c>
      <c r="I55" s="19">
        <v>1.0309999999999999</v>
      </c>
      <c r="J55" s="19">
        <v>1.03</v>
      </c>
      <c r="K55" s="19">
        <v>1.1000000000000001</v>
      </c>
      <c r="L55" s="19">
        <v>1</v>
      </c>
      <c r="M55" s="19">
        <v>1</v>
      </c>
      <c r="N55" s="19">
        <v>1</v>
      </c>
      <c r="O55" s="19">
        <v>1</v>
      </c>
      <c r="P55" s="19">
        <v>1</v>
      </c>
      <c r="Q55" s="28"/>
    </row>
    <row r="56" spans="1:17">
      <c r="A56" s="2" t="s">
        <v>32</v>
      </c>
      <c r="B56" s="31" t="s">
        <v>33</v>
      </c>
      <c r="C56" s="31" t="s">
        <v>33</v>
      </c>
      <c r="D56" s="31" t="s">
        <v>33</v>
      </c>
      <c r="E56" s="31" t="s">
        <v>33</v>
      </c>
      <c r="F56" s="31" t="s">
        <v>33</v>
      </c>
      <c r="G56" s="31" t="s">
        <v>33</v>
      </c>
      <c r="H56" s="31" t="s">
        <v>33</v>
      </c>
      <c r="I56" s="31" t="s">
        <v>33</v>
      </c>
      <c r="J56" s="31" t="s">
        <v>33</v>
      </c>
      <c r="K56" s="31" t="s">
        <v>33</v>
      </c>
      <c r="L56" s="31" t="s">
        <v>33</v>
      </c>
      <c r="M56" s="31" t="s">
        <v>33</v>
      </c>
      <c r="N56" s="31" t="s">
        <v>33</v>
      </c>
      <c r="O56" s="31" t="s">
        <v>33</v>
      </c>
      <c r="P56" s="31" t="s">
        <v>33</v>
      </c>
      <c r="Q56" s="28"/>
    </row>
    <row r="57" spans="1:17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8"/>
    </row>
    <row r="58" spans="1:17">
      <c r="A58" s="2" t="s">
        <v>34</v>
      </c>
      <c r="B58" s="32">
        <f>+B55</f>
        <v>1.9850000000000001</v>
      </c>
      <c r="C58" s="32">
        <f t="shared" ref="C58:O58" si="5">+C55</f>
        <v>1.585</v>
      </c>
      <c r="D58" s="32">
        <f t="shared" si="5"/>
        <v>1.35</v>
      </c>
      <c r="E58" s="32">
        <f t="shared" si="5"/>
        <v>1.2170000000000001</v>
      </c>
      <c r="F58" s="32">
        <f t="shared" si="5"/>
        <v>1.113</v>
      </c>
      <c r="G58" s="32">
        <f t="shared" si="5"/>
        <v>1.0820000000000001</v>
      </c>
      <c r="H58" s="32">
        <f t="shared" si="5"/>
        <v>1.048</v>
      </c>
      <c r="I58" s="32">
        <f t="shared" si="5"/>
        <v>1.0309999999999999</v>
      </c>
      <c r="J58" s="32">
        <f t="shared" si="5"/>
        <v>1.03</v>
      </c>
      <c r="K58" s="32">
        <f t="shared" si="5"/>
        <v>1.1000000000000001</v>
      </c>
      <c r="L58" s="32">
        <f t="shared" si="5"/>
        <v>1</v>
      </c>
      <c r="M58" s="32">
        <f t="shared" si="5"/>
        <v>1</v>
      </c>
      <c r="N58" s="32">
        <f t="shared" si="5"/>
        <v>1</v>
      </c>
      <c r="O58" s="32">
        <f t="shared" si="5"/>
        <v>1</v>
      </c>
      <c r="P58" s="32">
        <v>1</v>
      </c>
      <c r="Q58" s="28"/>
    </row>
    <row r="59" spans="1:17">
      <c r="A59" s="2" t="s">
        <v>35</v>
      </c>
      <c r="B59" s="19">
        <f t="shared" ref="B59:N59" si="6">B58*C59</f>
        <v>7.6205515854545434</v>
      </c>
      <c r="C59" s="19">
        <f t="shared" si="6"/>
        <v>3.8390688087932205</v>
      </c>
      <c r="D59" s="19">
        <f t="shared" si="6"/>
        <v>2.4221254314152811</v>
      </c>
      <c r="E59" s="19">
        <f t="shared" si="6"/>
        <v>1.7941669862335414</v>
      </c>
      <c r="F59" s="19">
        <f t="shared" si="6"/>
        <v>1.4742538917284644</v>
      </c>
      <c r="G59" s="19">
        <f t="shared" si="6"/>
        <v>1.3245767221280005</v>
      </c>
      <c r="H59" s="19">
        <f t="shared" si="6"/>
        <v>1.2241929040000004</v>
      </c>
      <c r="I59" s="19">
        <f t="shared" si="6"/>
        <v>1.1681230000000002</v>
      </c>
      <c r="J59" s="19">
        <f t="shared" si="6"/>
        <v>1.1330000000000002</v>
      </c>
      <c r="K59" s="19">
        <f t="shared" si="6"/>
        <v>1.1000000000000001</v>
      </c>
      <c r="L59" s="19">
        <f t="shared" si="6"/>
        <v>1</v>
      </c>
      <c r="M59" s="19">
        <f t="shared" si="6"/>
        <v>1</v>
      </c>
      <c r="N59" s="19">
        <f t="shared" si="6"/>
        <v>1</v>
      </c>
      <c r="O59" s="19">
        <f>O58*P59</f>
        <v>1</v>
      </c>
      <c r="P59" s="19">
        <f>P58</f>
        <v>1</v>
      </c>
      <c r="Q59" s="28"/>
    </row>
    <row r="60" spans="1:17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7">
      <c r="B61" s="2"/>
    </row>
    <row r="62" spans="1:17">
      <c r="B62" s="33"/>
      <c r="C62" s="33"/>
      <c r="D62" s="33"/>
      <c r="E62" s="33"/>
      <c r="F62" s="33"/>
      <c r="G62" s="34"/>
      <c r="H62" s="33"/>
      <c r="I62" s="33"/>
      <c r="J62" s="33"/>
      <c r="K62" s="33"/>
      <c r="L62" s="33"/>
      <c r="M62" s="33"/>
      <c r="N62" s="33"/>
      <c r="O62" s="33"/>
    </row>
    <row r="63" spans="1:17">
      <c r="B63" s="3"/>
      <c r="D63" s="3"/>
      <c r="E63" s="3"/>
      <c r="F63" s="3"/>
      <c r="G63" s="35"/>
      <c r="H63" s="3"/>
      <c r="I63" s="3"/>
      <c r="J63" s="3"/>
      <c r="K63" s="3"/>
      <c r="L63" s="3"/>
      <c r="M63" s="3"/>
      <c r="N63" s="3"/>
      <c r="O63" s="3"/>
    </row>
    <row r="64" spans="1:17">
      <c r="C64" s="3"/>
    </row>
    <row r="68" spans="1:1">
      <c r="A68" s="35"/>
    </row>
    <row r="69" spans="1:1">
      <c r="A69" s="35"/>
    </row>
    <row r="70" spans="1:1">
      <c r="A70" s="35"/>
    </row>
    <row r="72" spans="1:1">
      <c r="A72" s="35"/>
    </row>
    <row r="73" spans="1:1">
      <c r="A73" s="35"/>
    </row>
    <row r="105" spans="1:20">
      <c r="S105" s="3" t="s">
        <v>128</v>
      </c>
      <c r="T105" s="3" t="str">
        <f>+A5</f>
        <v>Paid Loss</v>
      </c>
    </row>
    <row r="106" spans="1:20">
      <c r="S106" s="264">
        <f>+EvalDate</f>
        <v>42735</v>
      </c>
      <c r="T106" s="3" t="s">
        <v>137</v>
      </c>
    </row>
    <row r="107" spans="1:20">
      <c r="A107" s="246"/>
      <c r="B107" s="246">
        <v>12</v>
      </c>
      <c r="C107" s="246">
        <f>+B107+12</f>
        <v>24</v>
      </c>
      <c r="D107" s="246">
        <f>+C107+12</f>
        <v>36</v>
      </c>
      <c r="E107" s="246">
        <f t="shared" ref="E107:P107" si="7">+D107+12</f>
        <v>48</v>
      </c>
      <c r="F107" s="246">
        <f t="shared" si="7"/>
        <v>60</v>
      </c>
      <c r="G107" s="246">
        <f t="shared" si="7"/>
        <v>72</v>
      </c>
      <c r="H107" s="246">
        <f t="shared" si="7"/>
        <v>84</v>
      </c>
      <c r="I107" s="246">
        <f t="shared" si="7"/>
        <v>96</v>
      </c>
      <c r="J107" s="246">
        <f t="shared" si="7"/>
        <v>108</v>
      </c>
      <c r="K107" s="246">
        <f t="shared" si="7"/>
        <v>120</v>
      </c>
      <c r="L107" s="246">
        <f t="shared" si="7"/>
        <v>132</v>
      </c>
      <c r="M107" s="246">
        <f t="shared" si="7"/>
        <v>144</v>
      </c>
      <c r="N107" s="246">
        <f t="shared" si="7"/>
        <v>156</v>
      </c>
      <c r="O107" s="246">
        <f t="shared" si="7"/>
        <v>168</v>
      </c>
      <c r="P107" s="246">
        <f t="shared" si="7"/>
        <v>180</v>
      </c>
      <c r="Q107" s="246"/>
      <c r="R107" s="247"/>
      <c r="T107" s="247"/>
    </row>
    <row r="108" spans="1:20">
      <c r="A108" s="246"/>
      <c r="B108" s="248">
        <f>+B59</f>
        <v>7.6205515854545434</v>
      </c>
      <c r="C108" s="248">
        <f>+C59</f>
        <v>3.8390688087932205</v>
      </c>
      <c r="D108" s="248">
        <f t="shared" ref="D108:P108" si="8">+D59</f>
        <v>2.4221254314152811</v>
      </c>
      <c r="E108" s="248">
        <f t="shared" si="8"/>
        <v>1.7941669862335414</v>
      </c>
      <c r="F108" s="248">
        <f t="shared" si="8"/>
        <v>1.4742538917284644</v>
      </c>
      <c r="G108" s="248">
        <f t="shared" si="8"/>
        <v>1.3245767221280005</v>
      </c>
      <c r="H108" s="248">
        <f t="shared" si="8"/>
        <v>1.2241929040000004</v>
      </c>
      <c r="I108" s="248">
        <f t="shared" si="8"/>
        <v>1.1681230000000002</v>
      </c>
      <c r="J108" s="248">
        <f t="shared" si="8"/>
        <v>1.1330000000000002</v>
      </c>
      <c r="K108" s="248">
        <f t="shared" si="8"/>
        <v>1.1000000000000001</v>
      </c>
      <c r="L108" s="248">
        <f t="shared" si="8"/>
        <v>1</v>
      </c>
      <c r="M108" s="248">
        <f t="shared" si="8"/>
        <v>1</v>
      </c>
      <c r="N108" s="248">
        <f t="shared" si="8"/>
        <v>1</v>
      </c>
      <c r="O108" s="248">
        <f t="shared" si="8"/>
        <v>1</v>
      </c>
      <c r="P108" s="248">
        <f t="shared" si="8"/>
        <v>1</v>
      </c>
      <c r="Q108" s="247"/>
      <c r="R108" s="247">
        <f t="shared" ref="R108:R120" si="9">+R109+12</f>
        <v>180</v>
      </c>
      <c r="S108" s="245">
        <f>+P10</f>
        <v>4066336.3900369992</v>
      </c>
      <c r="T108" s="249">
        <f t="shared" ref="T108:T122" si="10">+HLOOKUP(R108,$B$107:$Q$108,2,FALSE)</f>
        <v>1</v>
      </c>
    </row>
    <row r="109" spans="1:20">
      <c r="A109" s="246"/>
      <c r="B109" s="247"/>
      <c r="C109" s="247"/>
      <c r="D109" s="247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  <c r="R109" s="247">
        <f t="shared" si="9"/>
        <v>168</v>
      </c>
      <c r="S109" s="245">
        <f>+O11</f>
        <v>3271028.46</v>
      </c>
      <c r="T109" s="249">
        <f t="shared" si="10"/>
        <v>1</v>
      </c>
    </row>
    <row r="110" spans="1:20">
      <c r="A110" s="246"/>
      <c r="B110" s="247"/>
      <c r="C110" s="247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  <c r="R110" s="247">
        <f t="shared" si="9"/>
        <v>156</v>
      </c>
      <c r="S110" s="245">
        <f>+N12</f>
        <v>4586913</v>
      </c>
      <c r="T110" s="249">
        <f t="shared" si="10"/>
        <v>1</v>
      </c>
    </row>
    <row r="111" spans="1:20">
      <c r="A111" s="246"/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>
        <f t="shared" si="9"/>
        <v>144</v>
      </c>
      <c r="S111" s="245">
        <f>+M13</f>
        <v>4556737.22</v>
      </c>
      <c r="T111" s="249">
        <f t="shared" si="10"/>
        <v>1</v>
      </c>
    </row>
    <row r="112" spans="1:20">
      <c r="A112" s="246"/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>
        <f t="shared" si="9"/>
        <v>132</v>
      </c>
      <c r="S112" s="245">
        <f>+L14</f>
        <v>4357830.49</v>
      </c>
      <c r="T112" s="249">
        <f t="shared" si="10"/>
        <v>1</v>
      </c>
    </row>
    <row r="113" spans="1:20">
      <c r="A113" s="246"/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>
        <f t="shared" si="9"/>
        <v>120</v>
      </c>
      <c r="S113" s="245">
        <f>+K15</f>
        <v>3174352.51</v>
      </c>
      <c r="T113" s="249">
        <f t="shared" si="10"/>
        <v>1.1000000000000001</v>
      </c>
    </row>
    <row r="114" spans="1:20">
      <c r="A114" s="246"/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>
        <f t="shared" si="9"/>
        <v>108</v>
      </c>
      <c r="S114" s="245">
        <f>+J16</f>
        <v>2329891</v>
      </c>
      <c r="T114" s="249">
        <f t="shared" si="10"/>
        <v>1.1330000000000002</v>
      </c>
    </row>
    <row r="115" spans="1:20">
      <c r="A115" s="246"/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>
        <f t="shared" si="9"/>
        <v>96</v>
      </c>
      <c r="S115" s="245">
        <f>+I17</f>
        <v>2463991.9700000002</v>
      </c>
      <c r="T115" s="249">
        <f t="shared" si="10"/>
        <v>1.1681230000000002</v>
      </c>
    </row>
    <row r="116" spans="1:20">
      <c r="A116" s="246"/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>
        <f t="shared" si="9"/>
        <v>84</v>
      </c>
      <c r="S116" s="245">
        <f>+H18</f>
        <v>3156139.46</v>
      </c>
      <c r="T116" s="249">
        <f t="shared" si="10"/>
        <v>1.2241929040000004</v>
      </c>
    </row>
    <row r="117" spans="1:20">
      <c r="A117" s="246"/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>
        <f t="shared" si="9"/>
        <v>72</v>
      </c>
      <c r="S117" s="245">
        <f>+G19</f>
        <v>6907218</v>
      </c>
      <c r="T117" s="249">
        <f t="shared" si="10"/>
        <v>1.3245767221280005</v>
      </c>
    </row>
    <row r="118" spans="1:20">
      <c r="A118" s="246"/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>
        <f t="shared" si="9"/>
        <v>60</v>
      </c>
      <c r="S118" s="245">
        <f>+F20</f>
        <v>4132680</v>
      </c>
      <c r="T118" s="249">
        <f t="shared" si="10"/>
        <v>1.4742538917284644</v>
      </c>
    </row>
    <row r="119" spans="1:20">
      <c r="A119" s="246"/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>
        <f t="shared" si="9"/>
        <v>48</v>
      </c>
      <c r="S119" s="245">
        <f>+E21</f>
        <v>1766812.92</v>
      </c>
      <c r="T119" s="249">
        <f t="shared" si="10"/>
        <v>1.7941669862335414</v>
      </c>
    </row>
    <row r="120" spans="1:20">
      <c r="A120" s="246"/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>
        <f t="shared" si="9"/>
        <v>36</v>
      </c>
      <c r="S120" s="245">
        <f>+D22</f>
        <v>1655619</v>
      </c>
      <c r="T120" s="249">
        <f t="shared" si="10"/>
        <v>2.4221254314152811</v>
      </c>
    </row>
    <row r="121" spans="1:20">
      <c r="A121" s="246"/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>
        <f>+R122+12</f>
        <v>24</v>
      </c>
      <c r="S121" s="245">
        <f>+C23</f>
        <v>629188</v>
      </c>
      <c r="T121" s="249">
        <f t="shared" si="10"/>
        <v>3.8390688087932205</v>
      </c>
    </row>
    <row r="122" spans="1:20">
      <c r="A122" s="246"/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>
        <v>12</v>
      </c>
      <c r="S122" s="245">
        <f>+B24</f>
        <v>383397</v>
      </c>
      <c r="T122" s="249">
        <f t="shared" si="10"/>
        <v>7.6205515854545434</v>
      </c>
    </row>
  </sheetData>
  <pageMargins left="0.7" right="0.7" top="0.75" bottom="0.75" header="0.3" footer="0.3"/>
  <pageSetup orientation="portrait" horizontalDpi="1200" verticalDpi="1200" r:id="rId1"/>
  <ignoredErrors>
    <ignoredError sqref="B51:O52 B53:L53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P153"/>
  <sheetViews>
    <sheetView showGridLines="0" topLeftCell="A22" zoomScale="75" zoomScaleNormal="75" workbookViewId="0">
      <selection sqref="A1:Q53"/>
    </sheetView>
  </sheetViews>
  <sheetFormatPr defaultColWidth="10" defaultRowHeight="15"/>
  <cols>
    <col min="1" max="1" width="15.5703125" style="45" customWidth="1"/>
    <col min="2" max="16" width="13.5703125" style="37" customWidth="1"/>
    <col min="17" max="17" width="1.85546875" style="37" customWidth="1"/>
    <col min="18" max="18" width="10" style="37" customWidth="1"/>
    <col min="19" max="19" width="11.7109375" style="37" customWidth="1"/>
    <col min="20" max="34" width="10" style="37" customWidth="1"/>
    <col min="35" max="16384" width="10" style="37"/>
  </cols>
  <sheetData>
    <row r="1" spans="1:27" ht="15.75">
      <c r="A1" s="203" t="s">
        <v>0</v>
      </c>
      <c r="B1" s="64"/>
      <c r="C1" s="64"/>
      <c r="D1" s="64"/>
      <c r="E1" s="64"/>
      <c r="F1" s="64"/>
    </row>
    <row r="2" spans="1:27" ht="15.75">
      <c r="A2" s="204" t="str">
        <f>+"Analysis of Loss &amp; DCC Reserves as of "&amp;TEXT(EvalDate,"mm/dd/yyy")</f>
        <v>Analysis of Loss &amp; DCC Reserves as of 12/31/2016</v>
      </c>
      <c r="B2" s="64"/>
      <c r="C2" s="64"/>
      <c r="D2" s="64"/>
      <c r="E2" s="64"/>
      <c r="F2" s="64"/>
    </row>
    <row r="3" spans="1:27" ht="15.75">
      <c r="A3" s="205" t="str">
        <f>+LOB</f>
        <v>Liability</v>
      </c>
      <c r="B3" s="64"/>
    </row>
    <row r="4" spans="1:27" ht="15.75"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>
      <c r="A5" s="38" t="s">
        <v>95</v>
      </c>
    </row>
    <row r="7" spans="1:27">
      <c r="A7" s="66" t="s">
        <v>3</v>
      </c>
      <c r="B7" s="41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</row>
    <row r="8" spans="1:27" s="45" customFormat="1">
      <c r="A8" s="43" t="s">
        <v>5</v>
      </c>
      <c r="B8" s="44">
        <v>12</v>
      </c>
      <c r="C8" s="44">
        <f t="shared" ref="C8:P8" si="0">B8+12</f>
        <v>24</v>
      </c>
      <c r="D8" s="44">
        <f t="shared" si="0"/>
        <v>36</v>
      </c>
      <c r="E8" s="44">
        <f t="shared" si="0"/>
        <v>48</v>
      </c>
      <c r="F8" s="44">
        <f t="shared" si="0"/>
        <v>60</v>
      </c>
      <c r="G8" s="44">
        <f t="shared" si="0"/>
        <v>72</v>
      </c>
      <c r="H8" s="44">
        <f t="shared" si="0"/>
        <v>84</v>
      </c>
      <c r="I8" s="44">
        <f t="shared" si="0"/>
        <v>96</v>
      </c>
      <c r="J8" s="44">
        <f t="shared" si="0"/>
        <v>108</v>
      </c>
      <c r="K8" s="44">
        <f t="shared" si="0"/>
        <v>120</v>
      </c>
      <c r="L8" s="44">
        <f t="shared" si="0"/>
        <v>132</v>
      </c>
      <c r="M8" s="44">
        <f t="shared" si="0"/>
        <v>144</v>
      </c>
      <c r="N8" s="44">
        <f t="shared" si="0"/>
        <v>156</v>
      </c>
      <c r="O8" s="44">
        <f t="shared" si="0"/>
        <v>168</v>
      </c>
      <c r="P8" s="44">
        <f t="shared" si="0"/>
        <v>180</v>
      </c>
      <c r="R8" s="45" t="s">
        <v>6</v>
      </c>
    </row>
    <row r="9" spans="1:27">
      <c r="A9" s="40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8"/>
    </row>
    <row r="10" spans="1:27">
      <c r="A10" s="49">
        <f t="shared" ref="A10:A22" si="1">+A11-1</f>
        <v>2002</v>
      </c>
      <c r="B10" s="317">
        <f>+B110</f>
        <v>5.2970926785254516E-2</v>
      </c>
      <c r="C10" s="317">
        <f t="shared" ref="C10:P10" si="2">+C110</f>
        <v>7.209954497071068E-2</v>
      </c>
      <c r="D10" s="317">
        <f t="shared" si="2"/>
        <v>0.14033944648615992</v>
      </c>
      <c r="E10" s="317">
        <f t="shared" si="2"/>
        <v>0.20813569284607897</v>
      </c>
      <c r="F10" s="317">
        <f t="shared" si="2"/>
        <v>0.21387060300658217</v>
      </c>
      <c r="G10" s="317">
        <f t="shared" si="2"/>
        <v>0.20998394678853438</v>
      </c>
      <c r="H10" s="317">
        <f t="shared" si="2"/>
        <v>0.20945803657074438</v>
      </c>
      <c r="I10" s="317">
        <f t="shared" si="2"/>
        <v>0.2101803446409618</v>
      </c>
      <c r="J10" s="317">
        <f t="shared" si="2"/>
        <v>0.20868590696981457</v>
      </c>
      <c r="K10" s="317">
        <f t="shared" si="2"/>
        <v>0.20744391018373259</v>
      </c>
      <c r="L10" s="317">
        <f t="shared" si="2"/>
        <v>0.1871956297696992</v>
      </c>
      <c r="M10" s="317">
        <f t="shared" si="2"/>
        <v>0.17864193061346564</v>
      </c>
      <c r="N10" s="317">
        <f t="shared" si="2"/>
        <v>0.17864193061346564</v>
      </c>
      <c r="O10" s="317">
        <f t="shared" si="2"/>
        <v>0.17687319862719372</v>
      </c>
      <c r="P10" s="317">
        <f t="shared" si="2"/>
        <v>0.17687319862719372</v>
      </c>
      <c r="Q10" s="48"/>
    </row>
    <row r="11" spans="1:27">
      <c r="A11" s="49">
        <f t="shared" si="1"/>
        <v>2003</v>
      </c>
      <c r="B11" s="317">
        <f t="shared" ref="B11:O24" si="3">+B111</f>
        <v>6.5421810007082318E-2</v>
      </c>
      <c r="C11" s="317">
        <f t="shared" si="3"/>
        <v>7.5265394024557453E-2</v>
      </c>
      <c r="D11" s="317">
        <f t="shared" si="3"/>
        <v>0.12676855587508831</v>
      </c>
      <c r="E11" s="317">
        <f t="shared" si="3"/>
        <v>0.25864788787685772</v>
      </c>
      <c r="F11" s="317">
        <f t="shared" si="3"/>
        <v>0.28218094814342898</v>
      </c>
      <c r="G11" s="317">
        <f t="shared" si="3"/>
        <v>0.28291339239362301</v>
      </c>
      <c r="H11" s="317">
        <f t="shared" si="3"/>
        <v>0.29000954206156299</v>
      </c>
      <c r="I11" s="317">
        <f t="shared" si="3"/>
        <v>0.29235851049931799</v>
      </c>
      <c r="J11" s="317">
        <f t="shared" si="3"/>
        <v>0.29473178613215145</v>
      </c>
      <c r="K11" s="317">
        <f t="shared" si="3"/>
        <v>0.29781204867242628</v>
      </c>
      <c r="L11" s="317">
        <f t="shared" si="3"/>
        <v>0.29768347453003557</v>
      </c>
      <c r="M11" s="317">
        <f t="shared" si="3"/>
        <v>0.29298363345879941</v>
      </c>
      <c r="N11" s="317">
        <f t="shared" si="3"/>
        <v>0.2596901157577115</v>
      </c>
      <c r="O11" s="317">
        <f t="shared" si="3"/>
        <v>0.26243420700778619</v>
      </c>
      <c r="P11" s="126"/>
      <c r="Q11" s="48"/>
    </row>
    <row r="12" spans="1:27">
      <c r="A12" s="49">
        <f t="shared" si="1"/>
        <v>2004</v>
      </c>
      <c r="B12" s="317">
        <f t="shared" si="3"/>
        <v>8.0574164694523165E-2</v>
      </c>
      <c r="C12" s="317">
        <f t="shared" si="3"/>
        <v>7.3327220272851559E-2</v>
      </c>
      <c r="D12" s="317">
        <f t="shared" si="3"/>
        <v>0.13195407385831845</v>
      </c>
      <c r="E12" s="317">
        <f t="shared" si="3"/>
        <v>0.19370730813041359</v>
      </c>
      <c r="F12" s="317">
        <f t="shared" si="3"/>
        <v>0.20390407643292266</v>
      </c>
      <c r="G12" s="317">
        <f t="shared" si="3"/>
        <v>0.20902877494104988</v>
      </c>
      <c r="H12" s="317">
        <f t="shared" si="3"/>
        <v>0.21299644947048582</v>
      </c>
      <c r="I12" s="317">
        <f t="shared" si="3"/>
        <v>0.21723676502083905</v>
      </c>
      <c r="J12" s="317">
        <f t="shared" si="3"/>
        <v>0.21984360620108911</v>
      </c>
      <c r="K12" s="317">
        <f t="shared" si="3"/>
        <v>0.22181319035757424</v>
      </c>
      <c r="L12" s="317">
        <f t="shared" si="3"/>
        <v>0.2190069268349194</v>
      </c>
      <c r="M12" s="317">
        <f t="shared" si="3"/>
        <v>0.18988725666539008</v>
      </c>
      <c r="N12" s="317">
        <f t="shared" si="3"/>
        <v>0.18976802184824523</v>
      </c>
      <c r="O12" s="126"/>
      <c r="P12" s="126"/>
      <c r="Q12" s="48"/>
    </row>
    <row r="13" spans="1:27">
      <c r="A13" s="49">
        <f t="shared" si="1"/>
        <v>2005</v>
      </c>
      <c r="B13" s="317">
        <f t="shared" si="3"/>
        <v>6.8544156347068411E-2</v>
      </c>
      <c r="C13" s="317">
        <f t="shared" si="3"/>
        <v>9.3765511437618784E-2</v>
      </c>
      <c r="D13" s="317">
        <f t="shared" si="3"/>
        <v>0.26903375577458111</v>
      </c>
      <c r="E13" s="317">
        <f t="shared" si="3"/>
        <v>0.38547635532597596</v>
      </c>
      <c r="F13" s="317">
        <f t="shared" si="3"/>
        <v>0.35465524352801653</v>
      </c>
      <c r="G13" s="317">
        <f t="shared" si="3"/>
        <v>0.32261335626559057</v>
      </c>
      <c r="H13" s="317">
        <f t="shared" si="3"/>
        <v>0.30754474688494721</v>
      </c>
      <c r="I13" s="317">
        <f t="shared" si="3"/>
        <v>0.30440476835819158</v>
      </c>
      <c r="J13" s="317">
        <f t="shared" si="3"/>
        <v>0.29328498169568834</v>
      </c>
      <c r="K13" s="317">
        <f t="shared" si="3"/>
        <v>0.28157164859689632</v>
      </c>
      <c r="L13" s="317">
        <f t="shared" si="3"/>
        <v>0.21418733899944561</v>
      </c>
      <c r="M13" s="317">
        <f t="shared" si="3"/>
        <v>0.21874243009343428</v>
      </c>
      <c r="N13" s="126"/>
      <c r="O13" s="126"/>
      <c r="P13" s="126"/>
      <c r="Q13" s="48"/>
    </row>
    <row r="14" spans="1:27">
      <c r="A14" s="49">
        <f t="shared" si="1"/>
        <v>2006</v>
      </c>
      <c r="B14" s="317">
        <f t="shared" si="3"/>
        <v>6.262905822461351E-2</v>
      </c>
      <c r="C14" s="317">
        <f t="shared" si="3"/>
        <v>0.14649980794754236</v>
      </c>
      <c r="D14" s="317">
        <f t="shared" si="3"/>
        <v>0.20283831592345644</v>
      </c>
      <c r="E14" s="317">
        <f t="shared" si="3"/>
        <v>0.26245691568000312</v>
      </c>
      <c r="F14" s="317">
        <f t="shared" si="3"/>
        <v>0.30780199820448428</v>
      </c>
      <c r="G14" s="317">
        <f t="shared" si="3"/>
        <v>0.27243863043465311</v>
      </c>
      <c r="H14" s="317">
        <f t="shared" si="3"/>
        <v>0.26458737321785986</v>
      </c>
      <c r="I14" s="317">
        <f t="shared" si="3"/>
        <v>0.2611905106628194</v>
      </c>
      <c r="J14" s="317">
        <f t="shared" si="3"/>
        <v>0.24670714693312373</v>
      </c>
      <c r="K14" s="317">
        <f t="shared" si="3"/>
        <v>0.24273021401532774</v>
      </c>
      <c r="L14" s="317">
        <f t="shared" si="3"/>
        <v>0.22025091774508193</v>
      </c>
      <c r="M14" s="126"/>
      <c r="N14" s="126"/>
      <c r="O14" s="126"/>
      <c r="P14" s="126"/>
      <c r="Q14" s="48"/>
    </row>
    <row r="15" spans="1:27">
      <c r="A15" s="49">
        <f t="shared" si="1"/>
        <v>2007</v>
      </c>
      <c r="B15" s="317">
        <f t="shared" si="3"/>
        <v>0.10295015174021616</v>
      </c>
      <c r="C15" s="317">
        <f t="shared" si="3"/>
        <v>0.27315349160266661</v>
      </c>
      <c r="D15" s="317">
        <f t="shared" si="3"/>
        <v>0.44453502692057811</v>
      </c>
      <c r="E15" s="317">
        <f t="shared" si="3"/>
        <v>0.57284661114998658</v>
      </c>
      <c r="F15" s="317">
        <f t="shared" si="3"/>
        <v>0.49679822599036688</v>
      </c>
      <c r="G15" s="317">
        <f t="shared" si="3"/>
        <v>0.46581303454461587</v>
      </c>
      <c r="H15" s="317">
        <f t="shared" si="3"/>
        <v>0.46309159928938393</v>
      </c>
      <c r="I15" s="317">
        <f t="shared" si="3"/>
        <v>0.42287445612263358</v>
      </c>
      <c r="J15" s="317">
        <f t="shared" si="3"/>
        <v>0.37234336955500918</v>
      </c>
      <c r="K15" s="317">
        <f t="shared" si="3"/>
        <v>0.38312201040520227</v>
      </c>
      <c r="L15" s="126"/>
      <c r="M15" s="126"/>
      <c r="N15" s="126"/>
      <c r="O15" s="126"/>
      <c r="P15" s="126"/>
    </row>
    <row r="16" spans="1:27">
      <c r="A16" s="49">
        <f t="shared" si="1"/>
        <v>2008</v>
      </c>
      <c r="B16" s="317">
        <f t="shared" si="3"/>
        <v>0.13555075365686861</v>
      </c>
      <c r="C16" s="317">
        <f t="shared" si="3"/>
        <v>0.24766294742526179</v>
      </c>
      <c r="D16" s="317">
        <f t="shared" si="3"/>
        <v>0.43028635909013691</v>
      </c>
      <c r="E16" s="317">
        <f t="shared" si="3"/>
        <v>0.55553335136347815</v>
      </c>
      <c r="F16" s="317">
        <f t="shared" si="3"/>
        <v>0.72035276317141061</v>
      </c>
      <c r="G16" s="317">
        <f t="shared" si="3"/>
        <v>0.69420390841103341</v>
      </c>
      <c r="H16" s="317">
        <f t="shared" si="3"/>
        <v>0.66049022268668089</v>
      </c>
      <c r="I16" s="317">
        <f t="shared" si="3"/>
        <v>0.56627618816412162</v>
      </c>
      <c r="J16" s="317">
        <f t="shared" si="3"/>
        <v>0.55403284670948127</v>
      </c>
      <c r="K16" s="126"/>
      <c r="L16" s="126"/>
      <c r="M16" s="126"/>
      <c r="N16" s="126"/>
      <c r="O16" s="126"/>
      <c r="P16" s="126"/>
    </row>
    <row r="17" spans="1:16">
      <c r="A17" s="49">
        <f t="shared" si="1"/>
        <v>2009</v>
      </c>
      <c r="B17" s="317">
        <f t="shared" si="3"/>
        <v>2.7837519824695862E-2</v>
      </c>
      <c r="C17" s="317">
        <f t="shared" si="3"/>
        <v>5.7112259364528163E-2</v>
      </c>
      <c r="D17" s="317">
        <f t="shared" si="3"/>
        <v>0.20042852806278991</v>
      </c>
      <c r="E17" s="317">
        <f t="shared" si="3"/>
        <v>0.44810055600845639</v>
      </c>
      <c r="F17" s="317">
        <f t="shared" si="3"/>
        <v>0.48293975884583612</v>
      </c>
      <c r="G17" s="317">
        <f t="shared" si="3"/>
        <v>0.46390495759129369</v>
      </c>
      <c r="H17" s="317">
        <f t="shared" si="3"/>
        <v>0.45381419166327591</v>
      </c>
      <c r="I17" s="317">
        <f t="shared" si="3"/>
        <v>0.45719068155080067</v>
      </c>
      <c r="J17" s="126"/>
      <c r="K17" s="126"/>
      <c r="L17" s="126"/>
      <c r="M17" s="126"/>
      <c r="N17" s="126"/>
      <c r="O17" s="126"/>
      <c r="P17" s="126"/>
    </row>
    <row r="18" spans="1:16">
      <c r="A18" s="49">
        <f t="shared" si="1"/>
        <v>2010</v>
      </c>
      <c r="B18" s="317">
        <f t="shared" si="3"/>
        <v>7.5533848365721856E-2</v>
      </c>
      <c r="C18" s="317">
        <f t="shared" si="3"/>
        <v>0.13518023454457898</v>
      </c>
      <c r="D18" s="317">
        <f t="shared" si="3"/>
        <v>0.2824984466179345</v>
      </c>
      <c r="E18" s="317">
        <f t="shared" si="3"/>
        <v>0.27888498475221934</v>
      </c>
      <c r="F18" s="317">
        <f t="shared" si="3"/>
        <v>0.34448586344273024</v>
      </c>
      <c r="G18" s="317">
        <f t="shared" si="3"/>
        <v>0.33704373011144395</v>
      </c>
      <c r="H18" s="317">
        <f t="shared" si="3"/>
        <v>0.33398214741752885</v>
      </c>
      <c r="I18" s="126"/>
      <c r="J18" s="126"/>
      <c r="K18" s="126"/>
      <c r="L18" s="126"/>
      <c r="M18" s="126"/>
      <c r="N18" s="126"/>
      <c r="O18" s="126"/>
      <c r="P18" s="126"/>
    </row>
    <row r="19" spans="1:16">
      <c r="A19" s="49">
        <f t="shared" si="1"/>
        <v>2011</v>
      </c>
      <c r="B19" s="317">
        <f t="shared" si="3"/>
        <v>0.11007682563135797</v>
      </c>
      <c r="C19" s="317">
        <f t="shared" si="3"/>
        <v>0.10097011471826625</v>
      </c>
      <c r="D19" s="317">
        <f t="shared" si="3"/>
        <v>0.25499782974537721</v>
      </c>
      <c r="E19" s="317">
        <f t="shared" si="3"/>
        <v>0.26913524839768044</v>
      </c>
      <c r="F19" s="317">
        <f t="shared" si="3"/>
        <v>0.17455895387436768</v>
      </c>
      <c r="G19" s="317">
        <f t="shared" si="3"/>
        <v>0.15998731558204765</v>
      </c>
      <c r="H19" s="126"/>
      <c r="I19" s="126"/>
      <c r="J19" s="126"/>
      <c r="K19" s="126"/>
      <c r="L19" s="126"/>
      <c r="M19" s="126"/>
      <c r="N19" s="126"/>
      <c r="O19" s="126"/>
      <c r="P19" s="126"/>
    </row>
    <row r="20" spans="1:16">
      <c r="A20" s="49">
        <f t="shared" si="1"/>
        <v>2012</v>
      </c>
      <c r="B20" s="317">
        <f t="shared" si="3"/>
        <v>3.2827254319748506E-2</v>
      </c>
      <c r="C20" s="317">
        <f t="shared" si="3"/>
        <v>6.2692510067892684E-2</v>
      </c>
      <c r="D20" s="317">
        <f t="shared" si="3"/>
        <v>0.20110878937033727</v>
      </c>
      <c r="E20" s="317">
        <f t="shared" si="3"/>
        <v>0.32948092506653498</v>
      </c>
      <c r="F20" s="317">
        <f t="shared" si="3"/>
        <v>0.25275324363947849</v>
      </c>
      <c r="G20" s="126"/>
      <c r="H20" s="126"/>
      <c r="I20" s="126"/>
      <c r="J20" s="126"/>
      <c r="K20" s="126"/>
      <c r="L20" s="126"/>
      <c r="M20" s="126"/>
      <c r="N20" s="126"/>
      <c r="O20" s="126"/>
      <c r="P20" s="126"/>
    </row>
    <row r="21" spans="1:16">
      <c r="A21" s="49">
        <f t="shared" si="1"/>
        <v>2013</v>
      </c>
      <c r="B21" s="317">
        <f t="shared" si="3"/>
        <v>4.9316677421692892E-2</v>
      </c>
      <c r="C21" s="317">
        <f t="shared" si="3"/>
        <v>8.5534068506764954E-2</v>
      </c>
      <c r="D21" s="317">
        <f t="shared" si="3"/>
        <v>0.2147363294721796</v>
      </c>
      <c r="E21" s="317">
        <f t="shared" si="3"/>
        <v>0.41636247840169366</v>
      </c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</row>
    <row r="22" spans="1:16">
      <c r="A22" s="49">
        <f t="shared" si="1"/>
        <v>2014</v>
      </c>
      <c r="B22" s="317">
        <f t="shared" si="3"/>
        <v>0.13295556565360028</v>
      </c>
      <c r="C22" s="317">
        <f t="shared" si="3"/>
        <v>0.21520890412600202</v>
      </c>
      <c r="D22" s="317">
        <f t="shared" si="3"/>
        <v>0.33510473535790664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</row>
    <row r="23" spans="1:16">
      <c r="A23" s="49">
        <f>+A24-1</f>
        <v>2015</v>
      </c>
      <c r="B23" s="317">
        <f t="shared" si="3"/>
        <v>0.21622125999349351</v>
      </c>
      <c r="C23" s="317">
        <f t="shared" si="3"/>
        <v>0.18574767021915187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</row>
    <row r="24" spans="1:16">
      <c r="A24" s="51">
        <f>+EndYear</f>
        <v>2016</v>
      </c>
      <c r="B24" s="317">
        <f t="shared" si="3"/>
        <v>0.11867491152017647</v>
      </c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</row>
    <row r="25" spans="1:16">
      <c r="C25" s="303" t="s">
        <v>156</v>
      </c>
      <c r="D25" s="303"/>
    </row>
    <row r="27" spans="1:16">
      <c r="A27" s="40" t="str">
        <f>'[1]Exercise 12 - Pd to PD factors'!$A$10</f>
        <v>Accident</v>
      </c>
      <c r="B27" s="41" t="s">
        <v>8</v>
      </c>
      <c r="C27" s="41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5"/>
    </row>
    <row r="28" spans="1:16">
      <c r="A28" s="43" t="s">
        <v>5</v>
      </c>
      <c r="B28" s="56" t="s">
        <v>9</v>
      </c>
      <c r="C28" s="56" t="s">
        <v>10</v>
      </c>
      <c r="D28" s="56" t="s">
        <v>11</v>
      </c>
      <c r="E28" s="56" t="s">
        <v>12</v>
      </c>
      <c r="F28" s="56" t="s">
        <v>13</v>
      </c>
      <c r="G28" s="56" t="s">
        <v>14</v>
      </c>
      <c r="H28" s="56" t="s">
        <v>15</v>
      </c>
      <c r="I28" s="56" t="s">
        <v>16</v>
      </c>
      <c r="J28" s="56" t="s">
        <v>17</v>
      </c>
      <c r="K28" s="56" t="s">
        <v>18</v>
      </c>
      <c r="L28" s="56" t="s">
        <v>19</v>
      </c>
      <c r="M28" s="56" t="s">
        <v>20</v>
      </c>
      <c r="N28" s="56" t="s">
        <v>21</v>
      </c>
      <c r="O28" s="56" t="s">
        <v>22</v>
      </c>
      <c r="P28" s="56" t="s">
        <v>23</v>
      </c>
    </row>
    <row r="29" spans="1:16">
      <c r="A29" s="49"/>
    </row>
    <row r="30" spans="1:16">
      <c r="A30" s="49">
        <f t="shared" ref="A30:A43" si="4">+A11</f>
        <v>2003</v>
      </c>
      <c r="B30" s="318">
        <f>IF(B10="","",ROUND(C10/B10,3))</f>
        <v>1.361</v>
      </c>
      <c r="C30" s="318">
        <f t="shared" ref="C30:O30" si="5">IF(C10="","",ROUND(D10/C10,3))</f>
        <v>1.946</v>
      </c>
      <c r="D30" s="318">
        <f t="shared" si="5"/>
        <v>1.4830000000000001</v>
      </c>
      <c r="E30" s="318">
        <f t="shared" si="5"/>
        <v>1.028</v>
      </c>
      <c r="F30" s="318">
        <f t="shared" si="5"/>
        <v>0.98199999999999998</v>
      </c>
      <c r="G30" s="318">
        <f t="shared" si="5"/>
        <v>0.997</v>
      </c>
      <c r="H30" s="318">
        <f t="shared" si="5"/>
        <v>1.0029999999999999</v>
      </c>
      <c r="I30" s="318">
        <f t="shared" si="5"/>
        <v>0.99299999999999999</v>
      </c>
      <c r="J30" s="318">
        <f t="shared" si="5"/>
        <v>0.99399999999999999</v>
      </c>
      <c r="K30" s="318">
        <f t="shared" si="5"/>
        <v>0.90200000000000002</v>
      </c>
      <c r="L30" s="318">
        <f t="shared" si="5"/>
        <v>0.95399999999999996</v>
      </c>
      <c r="M30" s="318">
        <f t="shared" si="5"/>
        <v>1</v>
      </c>
      <c r="N30" s="318">
        <f t="shared" si="5"/>
        <v>0.99</v>
      </c>
      <c r="O30" s="318">
        <f t="shared" si="5"/>
        <v>1</v>
      </c>
    </row>
    <row r="31" spans="1:16">
      <c r="A31" s="49">
        <f t="shared" si="4"/>
        <v>2004</v>
      </c>
      <c r="B31" s="319">
        <f t="shared" ref="B31:N40" si="6">IF(B11="","",ROUND(C11/B11,3))</f>
        <v>1.1499999999999999</v>
      </c>
      <c r="C31" s="319">
        <f t="shared" si="6"/>
        <v>1.6839999999999999</v>
      </c>
      <c r="D31" s="319">
        <f t="shared" si="6"/>
        <v>2.04</v>
      </c>
      <c r="E31" s="319">
        <f t="shared" si="6"/>
        <v>1.091</v>
      </c>
      <c r="F31" s="319">
        <f t="shared" si="6"/>
        <v>1.0029999999999999</v>
      </c>
      <c r="G31" s="319">
        <f t="shared" si="6"/>
        <v>1.0249999999999999</v>
      </c>
      <c r="H31" s="319">
        <f t="shared" si="6"/>
        <v>1.008</v>
      </c>
      <c r="I31" s="319">
        <f t="shared" si="6"/>
        <v>1.008</v>
      </c>
      <c r="J31" s="319">
        <f t="shared" si="6"/>
        <v>1.01</v>
      </c>
      <c r="K31" s="319">
        <f t="shared" si="6"/>
        <v>1</v>
      </c>
      <c r="L31" s="319">
        <f t="shared" si="6"/>
        <v>0.98399999999999999</v>
      </c>
      <c r="M31" s="319">
        <f t="shared" si="6"/>
        <v>0.88600000000000001</v>
      </c>
      <c r="N31" s="319">
        <f t="shared" si="6"/>
        <v>1.0109999999999999</v>
      </c>
      <c r="O31" s="126"/>
    </row>
    <row r="32" spans="1:16">
      <c r="A32" s="49">
        <f t="shared" si="4"/>
        <v>2005</v>
      </c>
      <c r="B32" s="319">
        <f t="shared" si="6"/>
        <v>0.91</v>
      </c>
      <c r="C32" s="319">
        <f t="shared" si="6"/>
        <v>1.8</v>
      </c>
      <c r="D32" s="319">
        <f t="shared" si="6"/>
        <v>1.468</v>
      </c>
      <c r="E32" s="319">
        <f t="shared" si="6"/>
        <v>1.0529999999999999</v>
      </c>
      <c r="F32" s="319">
        <f t="shared" si="6"/>
        <v>1.0249999999999999</v>
      </c>
      <c r="G32" s="319">
        <f t="shared" si="6"/>
        <v>1.0189999999999999</v>
      </c>
      <c r="H32" s="319">
        <f t="shared" si="6"/>
        <v>1.02</v>
      </c>
      <c r="I32" s="319">
        <f t="shared" si="6"/>
        <v>1.012</v>
      </c>
      <c r="J32" s="319">
        <f t="shared" si="6"/>
        <v>1.0089999999999999</v>
      </c>
      <c r="K32" s="319">
        <f t="shared" si="6"/>
        <v>0.98699999999999999</v>
      </c>
      <c r="L32" s="319">
        <f t="shared" si="6"/>
        <v>0.86699999999999999</v>
      </c>
      <c r="M32" s="319">
        <f t="shared" si="6"/>
        <v>0.999</v>
      </c>
      <c r="N32" s="126"/>
      <c r="O32" s="126"/>
    </row>
    <row r="33" spans="1:32">
      <c r="A33" s="49">
        <f t="shared" si="4"/>
        <v>2006</v>
      </c>
      <c r="B33" s="319">
        <f t="shared" si="6"/>
        <v>1.3680000000000001</v>
      </c>
      <c r="C33" s="319">
        <f t="shared" si="6"/>
        <v>2.8690000000000002</v>
      </c>
      <c r="D33" s="319">
        <f t="shared" si="6"/>
        <v>1.4330000000000001</v>
      </c>
      <c r="E33" s="319">
        <f t="shared" si="6"/>
        <v>0.92</v>
      </c>
      <c r="F33" s="319">
        <f t="shared" si="6"/>
        <v>0.91</v>
      </c>
      <c r="G33" s="319">
        <f t="shared" si="6"/>
        <v>0.95299999999999996</v>
      </c>
      <c r="H33" s="319">
        <f t="shared" si="6"/>
        <v>0.99</v>
      </c>
      <c r="I33" s="319">
        <f t="shared" si="6"/>
        <v>0.96299999999999997</v>
      </c>
      <c r="J33" s="319">
        <f t="shared" si="6"/>
        <v>0.96</v>
      </c>
      <c r="K33" s="319">
        <f t="shared" si="6"/>
        <v>0.76100000000000001</v>
      </c>
      <c r="L33" s="319">
        <f t="shared" si="6"/>
        <v>1.0209999999999999</v>
      </c>
      <c r="M33" s="126"/>
      <c r="N33" s="126"/>
      <c r="O33" s="126"/>
    </row>
    <row r="34" spans="1:32">
      <c r="A34" s="49">
        <f t="shared" si="4"/>
        <v>2007</v>
      </c>
      <c r="B34" s="319">
        <f t="shared" si="6"/>
        <v>2.339</v>
      </c>
      <c r="C34" s="319">
        <f t="shared" si="6"/>
        <v>1.385</v>
      </c>
      <c r="D34" s="319">
        <f t="shared" si="6"/>
        <v>1.294</v>
      </c>
      <c r="E34" s="319">
        <f t="shared" si="6"/>
        <v>1.173</v>
      </c>
      <c r="F34" s="319">
        <f t="shared" si="6"/>
        <v>0.88500000000000001</v>
      </c>
      <c r="G34" s="319">
        <f t="shared" si="6"/>
        <v>0.97099999999999997</v>
      </c>
      <c r="H34" s="319">
        <f t="shared" si="6"/>
        <v>0.98699999999999999</v>
      </c>
      <c r="I34" s="319">
        <f t="shared" si="6"/>
        <v>0.94499999999999995</v>
      </c>
      <c r="J34" s="319">
        <f t="shared" si="6"/>
        <v>0.98399999999999999</v>
      </c>
      <c r="K34" s="319">
        <f t="shared" si="6"/>
        <v>0.90700000000000003</v>
      </c>
      <c r="L34" s="126"/>
      <c r="M34" s="126"/>
      <c r="N34" s="126"/>
      <c r="O34" s="126"/>
    </row>
    <row r="35" spans="1:32">
      <c r="A35" s="49">
        <f t="shared" si="4"/>
        <v>2008</v>
      </c>
      <c r="B35" s="319">
        <f t="shared" si="6"/>
        <v>2.653</v>
      </c>
      <c r="C35" s="319">
        <f t="shared" si="6"/>
        <v>1.627</v>
      </c>
      <c r="D35" s="319">
        <f t="shared" si="6"/>
        <v>1.2889999999999999</v>
      </c>
      <c r="E35" s="319">
        <f t="shared" si="6"/>
        <v>0.86699999999999999</v>
      </c>
      <c r="F35" s="319">
        <f t="shared" si="6"/>
        <v>0.93799999999999994</v>
      </c>
      <c r="G35" s="319">
        <f t="shared" si="6"/>
        <v>0.99399999999999999</v>
      </c>
      <c r="H35" s="319">
        <f t="shared" si="6"/>
        <v>0.91300000000000003</v>
      </c>
      <c r="I35" s="319">
        <f t="shared" si="6"/>
        <v>0.88100000000000001</v>
      </c>
      <c r="J35" s="319">
        <f t="shared" si="6"/>
        <v>1.0289999999999999</v>
      </c>
      <c r="K35" s="126"/>
      <c r="L35" s="126"/>
      <c r="M35" s="126"/>
      <c r="N35" s="126"/>
      <c r="O35" s="126"/>
    </row>
    <row r="36" spans="1:32">
      <c r="A36" s="49">
        <f t="shared" si="4"/>
        <v>2009</v>
      </c>
      <c r="B36" s="319">
        <f t="shared" si="6"/>
        <v>1.827</v>
      </c>
      <c r="C36" s="319">
        <f t="shared" si="6"/>
        <v>1.7370000000000001</v>
      </c>
      <c r="D36" s="319">
        <f t="shared" si="6"/>
        <v>1.2909999999999999</v>
      </c>
      <c r="E36" s="319">
        <f t="shared" si="6"/>
        <v>1.2969999999999999</v>
      </c>
      <c r="F36" s="319">
        <f t="shared" si="6"/>
        <v>0.96399999999999997</v>
      </c>
      <c r="G36" s="319">
        <f t="shared" si="6"/>
        <v>0.95099999999999996</v>
      </c>
      <c r="H36" s="319">
        <f t="shared" si="6"/>
        <v>0.85699999999999998</v>
      </c>
      <c r="I36" s="319">
        <f t="shared" si="6"/>
        <v>0.97799999999999998</v>
      </c>
      <c r="J36" s="126"/>
      <c r="K36" s="126"/>
      <c r="L36" s="126"/>
      <c r="M36" s="126"/>
      <c r="N36" s="126"/>
      <c r="O36" s="126"/>
    </row>
    <row r="37" spans="1:32">
      <c r="A37" s="49">
        <f t="shared" si="4"/>
        <v>2010</v>
      </c>
      <c r="B37" s="319">
        <f t="shared" si="6"/>
        <v>2.052</v>
      </c>
      <c r="C37" s="319">
        <f t="shared" si="6"/>
        <v>3.5089999999999999</v>
      </c>
      <c r="D37" s="319">
        <f t="shared" si="6"/>
        <v>2.2360000000000002</v>
      </c>
      <c r="E37" s="319">
        <f t="shared" si="6"/>
        <v>1.0780000000000001</v>
      </c>
      <c r="F37" s="319">
        <f t="shared" si="6"/>
        <v>0.96099999999999997</v>
      </c>
      <c r="G37" s="319">
        <f t="shared" si="6"/>
        <v>0.97799999999999998</v>
      </c>
      <c r="H37" s="319">
        <f t="shared" si="6"/>
        <v>1.0069999999999999</v>
      </c>
      <c r="I37" s="126"/>
      <c r="J37" s="126"/>
      <c r="K37" s="126"/>
      <c r="L37" s="126"/>
      <c r="M37" s="126"/>
      <c r="N37" s="126"/>
      <c r="O37" s="126"/>
    </row>
    <row r="38" spans="1:32">
      <c r="A38" s="49">
        <f t="shared" si="4"/>
        <v>2011</v>
      </c>
      <c r="B38" s="319">
        <f t="shared" si="6"/>
        <v>1.79</v>
      </c>
      <c r="C38" s="319">
        <f t="shared" si="6"/>
        <v>2.09</v>
      </c>
      <c r="D38" s="319">
        <f t="shared" si="6"/>
        <v>0.98699999999999999</v>
      </c>
      <c r="E38" s="319">
        <f t="shared" si="6"/>
        <v>1.2350000000000001</v>
      </c>
      <c r="F38" s="319">
        <f t="shared" si="6"/>
        <v>0.97799999999999998</v>
      </c>
      <c r="G38" s="319">
        <f t="shared" si="6"/>
        <v>0.99099999999999999</v>
      </c>
      <c r="H38" s="126"/>
      <c r="I38" s="126"/>
      <c r="J38" s="126"/>
      <c r="K38" s="126"/>
      <c r="L38" s="126"/>
      <c r="M38" s="126"/>
      <c r="N38" s="126"/>
      <c r="O38" s="126"/>
    </row>
    <row r="39" spans="1:32">
      <c r="A39" s="49">
        <f t="shared" si="4"/>
        <v>2012</v>
      </c>
      <c r="B39" s="319">
        <f t="shared" si="6"/>
        <v>0.91700000000000004</v>
      </c>
      <c r="C39" s="319">
        <f t="shared" si="6"/>
        <v>2.5249999999999999</v>
      </c>
      <c r="D39" s="319">
        <f t="shared" si="6"/>
        <v>1.0549999999999999</v>
      </c>
      <c r="E39" s="319">
        <f t="shared" si="6"/>
        <v>0.64900000000000002</v>
      </c>
      <c r="F39" s="319">
        <f t="shared" si="6"/>
        <v>0.91700000000000004</v>
      </c>
      <c r="G39" s="126"/>
      <c r="H39" s="126"/>
      <c r="I39" s="126"/>
      <c r="J39" s="126"/>
      <c r="K39" s="126"/>
      <c r="L39" s="126"/>
      <c r="M39" s="126"/>
      <c r="N39" s="126"/>
      <c r="O39" s="126"/>
    </row>
    <row r="40" spans="1:32">
      <c r="A40" s="49">
        <f t="shared" si="4"/>
        <v>2013</v>
      </c>
      <c r="B40" s="319">
        <f>IF(B20="","",ROUND(C20/B20,3))</f>
        <v>1.91</v>
      </c>
      <c r="C40" s="319">
        <f t="shared" si="6"/>
        <v>3.2080000000000002</v>
      </c>
      <c r="D40" s="319">
        <f t="shared" si="6"/>
        <v>1.6379999999999999</v>
      </c>
      <c r="E40" s="319">
        <f t="shared" si="6"/>
        <v>0.76700000000000002</v>
      </c>
      <c r="F40" s="126"/>
      <c r="G40" s="126"/>
      <c r="H40" s="126"/>
      <c r="I40" s="126"/>
      <c r="J40" s="126"/>
      <c r="K40" s="126"/>
      <c r="L40" s="126"/>
      <c r="M40" s="126"/>
      <c r="N40" s="126"/>
      <c r="O40" s="126"/>
    </row>
    <row r="41" spans="1:32">
      <c r="A41" s="49">
        <f t="shared" si="4"/>
        <v>2014</v>
      </c>
      <c r="B41" s="319">
        <f t="shared" ref="B41:D43" si="7">IF(B21="","",ROUND(C21/B21,3))</f>
        <v>1.734</v>
      </c>
      <c r="C41" s="319">
        <f t="shared" si="7"/>
        <v>2.5110000000000001</v>
      </c>
      <c r="D41" s="319">
        <f t="shared" si="7"/>
        <v>1.9390000000000001</v>
      </c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</row>
    <row r="42" spans="1:32">
      <c r="A42" s="49">
        <f t="shared" si="4"/>
        <v>2015</v>
      </c>
      <c r="B42" s="319">
        <f t="shared" si="7"/>
        <v>1.619</v>
      </c>
      <c r="C42" s="319">
        <f t="shared" si="7"/>
        <v>1.5569999999999999</v>
      </c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</row>
    <row r="43" spans="1:32">
      <c r="A43" s="51">
        <f t="shared" si="4"/>
        <v>2016</v>
      </c>
      <c r="B43" s="319">
        <f t="shared" si="7"/>
        <v>0.85899999999999999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</row>
    <row r="44" spans="1:32">
      <c r="C44" s="304" t="s">
        <v>157</v>
      </c>
      <c r="R44" s="58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</row>
    <row r="45" spans="1:32">
      <c r="A45" s="59" t="s">
        <v>24</v>
      </c>
      <c r="R45" s="59"/>
    </row>
    <row r="46" spans="1:32">
      <c r="A46" s="59" t="s">
        <v>25</v>
      </c>
      <c r="B46" s="336">
        <f>+'Exercise 12 - DCC Pd Pd LDFs'!B49</f>
        <v>1.4039999999999999</v>
      </c>
      <c r="C46" s="336">
        <f>+'Exercise 12 - DCC Pd Pd LDFs'!C49</f>
        <v>2.4249999999999998</v>
      </c>
      <c r="D46" s="336">
        <f>+'Exercise 12 - DCC Pd Pd LDFs'!D49</f>
        <v>1.544</v>
      </c>
      <c r="E46" s="53">
        <f>+'Exercise 12 - DCC Pd Pd LDFs'!E49</f>
        <v>0.88400000000000001</v>
      </c>
      <c r="F46" s="53">
        <f>+'Exercise 12 - DCC Pd Pd LDFs'!F49</f>
        <v>0.95199999999999996</v>
      </c>
      <c r="G46" s="53">
        <f>+'Exercise 12 - DCC Pd Pd LDFs'!G49</f>
        <v>0.97299999999999998</v>
      </c>
      <c r="H46" s="53">
        <f>+'Exercise 12 - DCC Pd Pd LDFs'!H49</f>
        <v>0.92600000000000005</v>
      </c>
      <c r="I46" s="53">
        <f>+'Exercise 12 - DCC Pd Pd LDFs'!I49</f>
        <v>0.93500000000000005</v>
      </c>
      <c r="J46" s="53">
        <f>+'Exercise 12 - DCC Pd Pd LDFs'!J49</f>
        <v>0.99099999999999999</v>
      </c>
      <c r="K46" s="53">
        <f>+'Exercise 12 - DCC Pd Pd LDFs'!K49</f>
        <v>0.88500000000000001</v>
      </c>
      <c r="L46" s="53">
        <f>+'Exercise 12 - DCC Pd Pd LDFs'!L49</f>
        <v>0.95699999999999996</v>
      </c>
      <c r="M46" s="53">
        <f>+'Exercise 12 - DCC Pd Pd LDFs'!M49</f>
        <v>0.96199999999999997</v>
      </c>
      <c r="N46" s="53"/>
      <c r="O46" s="53"/>
      <c r="AF46" s="53"/>
    </row>
    <row r="47" spans="1:32">
      <c r="A47" s="59" t="s">
        <v>26</v>
      </c>
      <c r="B47" s="336">
        <f>+'Exercise 12 - DCC Pd Pd LDFs'!B50</f>
        <v>1.4079999999999999</v>
      </c>
      <c r="C47" s="336">
        <f>+'Exercise 12 - DCC Pd Pd LDFs'!C50</f>
        <v>2.3780000000000001</v>
      </c>
      <c r="D47" s="336">
        <f>+'Exercise 12 - DCC Pd Pd LDFs'!D50</f>
        <v>1.571</v>
      </c>
      <c r="E47" s="53">
        <f>+'Exercise 12 - DCC Pd Pd LDFs'!E50</f>
        <v>1.0049999999999999</v>
      </c>
      <c r="F47" s="53">
        <f>+'Exercise 12 - DCC Pd Pd LDFs'!F50</f>
        <v>0.95199999999999996</v>
      </c>
      <c r="G47" s="53">
        <f>+'Exercise 12 - DCC Pd Pd LDFs'!G50</f>
        <v>0.97699999999999998</v>
      </c>
      <c r="H47" s="53">
        <f>+'Exercise 12 - DCC Pd Pd LDFs'!H50</f>
        <v>0.95099999999999996</v>
      </c>
      <c r="I47" s="53">
        <f>+'Exercise 12 - DCC Pd Pd LDFs'!I50</f>
        <v>0.95599999999999996</v>
      </c>
      <c r="J47" s="53">
        <f>+'Exercise 12 - DCC Pd Pd LDFs'!J50</f>
        <v>0.998</v>
      </c>
      <c r="K47" s="53">
        <f>+'Exercise 12 - DCC Pd Pd LDFs'!K50</f>
        <v>0.91100000000000003</v>
      </c>
      <c r="L47" s="53"/>
      <c r="M47" s="53"/>
      <c r="N47" s="53"/>
      <c r="O47" s="53"/>
      <c r="AF47" s="53"/>
    </row>
    <row r="48" spans="1:32">
      <c r="A48" s="59" t="s">
        <v>27</v>
      </c>
      <c r="B48" s="336">
        <f>+'Exercise 12 - DCC Pd Pd LDFs'!B51</f>
        <v>1.423</v>
      </c>
      <c r="C48" s="336">
        <f>+'Exercise 12 - DCC Pd Pd LDFs'!C51</f>
        <v>2.375</v>
      </c>
      <c r="D48" s="336">
        <f>+'Exercise 12 - DCC Pd Pd LDFs'!D51</f>
        <v>1.544</v>
      </c>
      <c r="E48" s="53">
        <f>+'Exercise 12 - DCC Pd Pd LDFs'!E51</f>
        <v>1.0269999999999999</v>
      </c>
      <c r="F48" s="53">
        <f>+'Exercise 12 - DCC Pd Pd LDFs'!F51</f>
        <v>0.95399999999999996</v>
      </c>
      <c r="G48" s="53">
        <f>+'Exercise 12 - DCC Pd Pd LDFs'!G51</f>
        <v>0.98</v>
      </c>
      <c r="H48" s="53">
        <f>+'Exercise 12 - DCC Pd Pd LDFs'!H51</f>
        <v>0.96299999999999997</v>
      </c>
      <c r="I48" s="53">
        <f>+'Exercise 12 - DCC Pd Pd LDFs'!I51</f>
        <v>0.96199999999999997</v>
      </c>
      <c r="J48" s="53">
        <f>+'Exercise 12 - DCC Pd Pd LDFs'!J51</f>
        <v>1.0009999999999999</v>
      </c>
      <c r="K48" s="53">
        <f>+'Exercise 12 - DCC Pd Pd LDFs'!K51</f>
        <v>0.93200000000000005</v>
      </c>
      <c r="L48" s="53"/>
      <c r="M48" s="53"/>
      <c r="N48" s="53"/>
      <c r="O48" s="53"/>
      <c r="AF48" s="53"/>
    </row>
    <row r="49" spans="1:32">
      <c r="A49" s="60" t="s">
        <v>28</v>
      </c>
      <c r="B49" s="336">
        <f>+'Exercise 12 - DCC Pd Pd LDFs'!B52</f>
        <v>1.6060000000000001</v>
      </c>
      <c r="C49" s="336">
        <f>+'Exercise 12 - DCC Pd Pd LDFs'!C52</f>
        <v>2.1880000000000002</v>
      </c>
      <c r="D49" s="336">
        <f>+'Exercise 12 - DCC Pd Pd LDFs'!D52</f>
        <v>1.5129999999999999</v>
      </c>
      <c r="E49" s="53">
        <f>+'Exercise 12 - DCC Pd Pd LDFs'!E52</f>
        <v>1.014</v>
      </c>
      <c r="F49" s="53">
        <f>+'Exercise 12 - DCC Pd Pd LDFs'!F52</f>
        <v>0.95599999999999996</v>
      </c>
      <c r="G49" s="53">
        <f>+'Exercise 12 - DCC Pd Pd LDFs'!G52</f>
        <v>0.98699999999999999</v>
      </c>
      <c r="H49" s="53">
        <f>+'Exercise 12 - DCC Pd Pd LDFs'!H52</f>
        <v>0.97299999999999998</v>
      </c>
      <c r="I49" s="53">
        <f>+'Exercise 12 - DCC Pd Pd LDFs'!I52</f>
        <v>0.96899999999999997</v>
      </c>
      <c r="J49" s="53">
        <f>+'Exercise 12 - DCC Pd Pd LDFs'!J52</f>
        <v>0.998</v>
      </c>
      <c r="K49" s="53">
        <f>+'Exercise 12 - DCC Pd Pd LDFs'!K52</f>
        <v>0.91100000000000003</v>
      </c>
      <c r="L49" s="53">
        <f>+'Exercise 12 - DCC Pd Pd LDFs'!L52</f>
        <v>0.95699999999999996</v>
      </c>
      <c r="M49" s="53">
        <f>+'Exercise 12 - DCC Pd Pd LDFs'!M52</f>
        <v>0.96199999999999997</v>
      </c>
      <c r="N49" s="53">
        <f>+'Exercise 12 - DCC Pd Pd LDFs'!N52</f>
        <v>1.0009999999999999</v>
      </c>
      <c r="O49" s="53">
        <f>+'Exercise 12 - DCC Pd Pd LDFs'!O52</f>
        <v>1</v>
      </c>
      <c r="AF49" s="53"/>
    </row>
    <row r="50" spans="1:32">
      <c r="B50" s="337"/>
      <c r="C50" s="337"/>
      <c r="D50" s="337"/>
      <c r="E50" s="45"/>
      <c r="F50" s="53"/>
      <c r="G50" s="53"/>
      <c r="H50" s="53"/>
      <c r="I50" s="53"/>
      <c r="J50" s="53"/>
      <c r="K50" s="53"/>
      <c r="L50" s="53"/>
      <c r="M50" s="53"/>
      <c r="N50" s="53"/>
      <c r="O50" s="53"/>
      <c r="AF50" s="53"/>
    </row>
    <row r="51" spans="1:32">
      <c r="A51" s="59" t="s">
        <v>29</v>
      </c>
      <c r="B51" s="336">
        <f>+'Exercise 12 - DCC Pd Pd LDFs'!B54</f>
        <v>1.2210000000000001</v>
      </c>
      <c r="C51" s="336">
        <f>+'Exercise 12 - DCC Pd Pd LDFs'!C54</f>
        <v>2.0659999999999998</v>
      </c>
      <c r="D51" s="336">
        <f>+'Exercise 12 - DCC Pd Pd LDFs'!D54</f>
        <v>1.5129999999999999</v>
      </c>
      <c r="E51" s="53">
        <f>+'Exercise 12 - DCC Pd Pd LDFs'!E54</f>
        <v>0.88</v>
      </c>
      <c r="F51" s="53">
        <f>+'Exercise 12 - DCC Pd Pd LDFs'!F54</f>
        <v>0.95899999999999996</v>
      </c>
      <c r="G51" s="53">
        <f>+'Exercise 12 - DCC Pd Pd LDFs'!G54</f>
        <v>0.96899999999999997</v>
      </c>
      <c r="H51" s="53">
        <f>+'Exercise 12 - DCC Pd Pd LDFs'!H54</f>
        <v>0.91700000000000004</v>
      </c>
      <c r="I51" s="53">
        <f>+'Exercise 12 - DCC Pd Pd LDFs'!I54</f>
        <v>0.93799999999999994</v>
      </c>
      <c r="J51" s="53">
        <f>+'Exercise 12 - DCC Pd Pd LDFs'!J54</f>
        <v>0.995</v>
      </c>
      <c r="K51" s="53">
        <f>+'Exercise 12 - DCC Pd Pd LDFs'!K54</f>
        <v>0.876</v>
      </c>
      <c r="L51" s="53">
        <f>+'Exercise 12 - DCC Pd Pd LDFs'!L54</f>
        <v>0.96</v>
      </c>
      <c r="M51" s="53">
        <f>+'Exercise 12 - DCC Pd Pd LDFs'!M54</f>
        <v>0.94899999999999995</v>
      </c>
      <c r="N51" s="53"/>
      <c r="O51" s="53"/>
      <c r="AF51" s="53"/>
    </row>
    <row r="52" spans="1:32">
      <c r="A52" s="59" t="s">
        <v>30</v>
      </c>
      <c r="B52" s="336">
        <f>+'Exercise 12 - DCC Pd Pd LDFs'!B55</f>
        <v>1.2010000000000001</v>
      </c>
      <c r="C52" s="336">
        <f>+'Exercise 12 - DCC Pd Pd LDFs'!C55</f>
        <v>2.149</v>
      </c>
      <c r="D52" s="336">
        <f>+'Exercise 12 - DCC Pd Pd LDFs'!D55</f>
        <v>1.51</v>
      </c>
      <c r="E52" s="53">
        <f>+'Exercise 12 - DCC Pd Pd LDFs'!E55</f>
        <v>1.05</v>
      </c>
      <c r="F52" s="53">
        <f>+'Exercise 12 - DCC Pd Pd LDFs'!F55</f>
        <v>0.95599999999999996</v>
      </c>
      <c r="G52" s="53">
        <f>+'Exercise 12 - DCC Pd Pd LDFs'!G55</f>
        <v>0.97399999999999998</v>
      </c>
      <c r="H52" s="53">
        <f>+'Exercise 12 - DCC Pd Pd LDFs'!H55</f>
        <v>0.93600000000000005</v>
      </c>
      <c r="I52" s="53">
        <f>+'Exercise 12 - DCC Pd Pd LDFs'!I55</f>
        <v>0.95199999999999996</v>
      </c>
      <c r="J52" s="53">
        <f>+'Exercise 12 - DCC Pd Pd LDFs'!J55</f>
        <v>1</v>
      </c>
      <c r="K52" s="53">
        <f>+'Exercise 12 - DCC Pd Pd LDFs'!K55</f>
        <v>0.91</v>
      </c>
      <c r="L52" s="53"/>
      <c r="M52" s="53"/>
      <c r="N52" s="53"/>
      <c r="O52" s="53"/>
      <c r="AF52" s="53"/>
    </row>
    <row r="53" spans="1:32">
      <c r="A53" s="60" t="s">
        <v>28</v>
      </c>
      <c r="B53" s="336">
        <f>+'Exercise 12 - DCC Pd Pd LDFs'!B56</f>
        <v>1.5029999999999999</v>
      </c>
      <c r="C53" s="336">
        <f>+'Exercise 12 - DCC Pd Pd LDFs'!C56</f>
        <v>1.974</v>
      </c>
      <c r="D53" s="336">
        <f>+'Exercise 12 - DCC Pd Pd LDFs'!D56</f>
        <v>1.4410000000000001</v>
      </c>
      <c r="E53" s="53">
        <f>+'Exercise 12 - DCC Pd Pd LDFs'!E56</f>
        <v>1.0189999999999999</v>
      </c>
      <c r="F53" s="53">
        <f>+'Exercise 12 - DCC Pd Pd LDFs'!F56</f>
        <v>0.95399999999999996</v>
      </c>
      <c r="G53" s="53">
        <f>+'Exercise 12 - DCC Pd Pd LDFs'!G56</f>
        <v>0.98099999999999998</v>
      </c>
      <c r="H53" s="53">
        <f>+'Exercise 12 - DCC Pd Pd LDFs'!H56</f>
        <v>0.95399999999999996</v>
      </c>
      <c r="I53" s="53">
        <f>+'Exercise 12 - DCC Pd Pd LDFs'!I56</f>
        <v>0.96299999999999997</v>
      </c>
      <c r="J53" s="53">
        <f>+'Exercise 12 - DCC Pd Pd LDFs'!J56</f>
        <v>0.999</v>
      </c>
      <c r="K53" s="53">
        <f>+'Exercise 12 - DCC Pd Pd LDFs'!K56</f>
        <v>0.91</v>
      </c>
      <c r="L53" s="53">
        <f>+'Exercise 12 - DCC Pd Pd LDFs'!L56</f>
        <v>0.95899999999999996</v>
      </c>
      <c r="M53" s="53">
        <f>+'Exercise 12 - DCC Pd Pd LDFs'!M56</f>
        <v>0.94899999999999995</v>
      </c>
      <c r="N53" s="53">
        <f>+'Exercise 12 - DCC Pd Pd LDFs'!N56</f>
        <v>1.002</v>
      </c>
      <c r="O53" s="53">
        <f>+'Exercise 12 - DCC Pd Pd LDFs'!O56</f>
        <v>1</v>
      </c>
      <c r="AF53" s="53"/>
    </row>
    <row r="54" spans="1:32"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8"/>
    </row>
    <row r="55" spans="1:32">
      <c r="C55" s="302" t="s">
        <v>155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</row>
    <row r="56" spans="1:32">
      <c r="B56" s="38"/>
    </row>
    <row r="57" spans="1:32">
      <c r="B57" s="70"/>
      <c r="C57" s="70"/>
      <c r="D57" s="70"/>
      <c r="E57" s="70"/>
      <c r="F57" s="70"/>
      <c r="G57" s="71"/>
      <c r="H57" s="70"/>
      <c r="I57" s="70"/>
      <c r="J57" s="70"/>
      <c r="K57" s="70"/>
      <c r="L57" s="70"/>
      <c r="M57" s="70"/>
      <c r="N57" s="70"/>
      <c r="O57" s="70"/>
    </row>
    <row r="58" spans="1:32">
      <c r="E58" s="45"/>
      <c r="F58" s="45"/>
      <c r="G58" s="72"/>
      <c r="H58" s="45"/>
      <c r="I58" s="45"/>
      <c r="J58" s="45"/>
      <c r="K58" s="45"/>
      <c r="L58" s="45"/>
      <c r="M58" s="45"/>
      <c r="N58" s="45"/>
      <c r="O58" s="45"/>
    </row>
    <row r="63" spans="1:32">
      <c r="A63" s="72"/>
    </row>
    <row r="64" spans="1:32">
      <c r="A64" s="72"/>
    </row>
    <row r="65" spans="1:1">
      <c r="A65" s="72"/>
    </row>
    <row r="67" spans="1:1">
      <c r="A67" s="72"/>
    </row>
    <row r="68" spans="1:1">
      <c r="A68" s="72"/>
    </row>
    <row r="105" spans="1:42">
      <c r="B105" s="37" t="s">
        <v>150</v>
      </c>
    </row>
    <row r="107" spans="1:42">
      <c r="A107" s="66" t="s">
        <v>3</v>
      </c>
      <c r="B107" s="41" t="s">
        <v>4</v>
      </c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2"/>
      <c r="S107" s="3"/>
      <c r="T107" s="3"/>
    </row>
    <row r="108" spans="1:42">
      <c r="A108" s="43" t="s">
        <v>5</v>
      </c>
      <c r="B108" s="44">
        <v>12</v>
      </c>
      <c r="C108" s="44">
        <f t="shared" ref="C108:P108" si="8">B108+12</f>
        <v>24</v>
      </c>
      <c r="D108" s="44">
        <f t="shared" si="8"/>
        <v>36</v>
      </c>
      <c r="E108" s="44">
        <f t="shared" si="8"/>
        <v>48</v>
      </c>
      <c r="F108" s="44">
        <f t="shared" si="8"/>
        <v>60</v>
      </c>
      <c r="G108" s="44">
        <f t="shared" si="8"/>
        <v>72</v>
      </c>
      <c r="H108" s="44">
        <f t="shared" si="8"/>
        <v>84</v>
      </c>
      <c r="I108" s="44">
        <f t="shared" si="8"/>
        <v>96</v>
      </c>
      <c r="J108" s="44">
        <f t="shared" si="8"/>
        <v>108</v>
      </c>
      <c r="K108" s="44">
        <f t="shared" si="8"/>
        <v>120</v>
      </c>
      <c r="L108" s="44">
        <f t="shared" si="8"/>
        <v>132</v>
      </c>
      <c r="M108" s="44">
        <f t="shared" si="8"/>
        <v>144</v>
      </c>
      <c r="N108" s="44">
        <f t="shared" si="8"/>
        <v>156</v>
      </c>
      <c r="O108" s="44">
        <f t="shared" si="8"/>
        <v>168</v>
      </c>
      <c r="P108" s="44">
        <f t="shared" si="8"/>
        <v>180</v>
      </c>
      <c r="S108" s="264"/>
      <c r="T108" s="264"/>
    </row>
    <row r="109" spans="1:42">
      <c r="A109" s="40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T109" s="1"/>
    </row>
    <row r="110" spans="1:42">
      <c r="A110" s="49">
        <f t="shared" ref="A110:A122" si="9">+A111-1</f>
        <v>2002</v>
      </c>
      <c r="B110" s="321">
        <f>+'Exercise 6 DCC Paid LDFs'!B13/'Exercise 6 - Paid LDFs'!B10</f>
        <v>5.2970926785254516E-2</v>
      </c>
      <c r="C110" s="129">
        <f>+'Exercise 6 DCC Paid LDFs'!C13/'Exercise 6 - Paid LDFs'!C10</f>
        <v>7.209954497071068E-2</v>
      </c>
      <c r="D110" s="129">
        <f>+'Exercise 6 DCC Paid LDFs'!D13/'Exercise 6 - Paid LDFs'!D10</f>
        <v>0.14033944648615992</v>
      </c>
      <c r="E110" s="129">
        <f>+'Exercise 6 DCC Paid LDFs'!E13/'Exercise 6 - Paid LDFs'!E10</f>
        <v>0.20813569284607897</v>
      </c>
      <c r="F110" s="129">
        <f>+'Exercise 6 DCC Paid LDFs'!F13/'Exercise 6 - Paid LDFs'!F10</f>
        <v>0.21387060300658217</v>
      </c>
      <c r="G110" s="129">
        <f>+'Exercise 6 DCC Paid LDFs'!G13/'Exercise 6 - Paid LDFs'!G10</f>
        <v>0.20998394678853438</v>
      </c>
      <c r="H110" s="129">
        <f>+'Exercise 6 DCC Paid LDFs'!H13/'Exercise 6 - Paid LDFs'!H10</f>
        <v>0.20945803657074438</v>
      </c>
      <c r="I110" s="129">
        <f>+'Exercise 6 DCC Paid LDFs'!I13/'Exercise 6 - Paid LDFs'!I10</f>
        <v>0.2101803446409618</v>
      </c>
      <c r="J110" s="129">
        <f>+'Exercise 6 DCC Paid LDFs'!J13/'Exercise 6 - Paid LDFs'!J10</f>
        <v>0.20868590696981457</v>
      </c>
      <c r="K110" s="129">
        <f>+'Exercise 6 DCC Paid LDFs'!K13/'Exercise 6 - Paid LDFs'!K10</f>
        <v>0.20744391018373259</v>
      </c>
      <c r="L110" s="129">
        <f>+'Exercise 6 DCC Paid LDFs'!L13/'Exercise 6 - Paid LDFs'!L10</f>
        <v>0.1871956297696992</v>
      </c>
      <c r="M110" s="129">
        <f>+'Exercise 6 DCC Paid LDFs'!M13/'Exercise 6 - Paid LDFs'!M10</f>
        <v>0.17864193061346564</v>
      </c>
      <c r="N110" s="129">
        <f>+'Exercise 6 DCC Paid LDFs'!N13/'Exercise 6 - Paid LDFs'!N10</f>
        <v>0.17864193061346564</v>
      </c>
      <c r="O110" s="129">
        <f>+'Exercise 6 DCC Paid LDFs'!O13/'Exercise 6 - Paid LDFs'!O10</f>
        <v>0.17687319862719372</v>
      </c>
      <c r="P110" s="129">
        <f>+'Exercise 6 DCC Paid LDFs'!P13/'Exercise 6 - Paid LDFs'!P10</f>
        <v>0.17687319862719372</v>
      </c>
      <c r="Q110" s="63"/>
      <c r="R110" s="63"/>
      <c r="S110" s="305"/>
      <c r="T110" s="245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</row>
    <row r="111" spans="1:42">
      <c r="A111" s="49">
        <f t="shared" si="9"/>
        <v>2003</v>
      </c>
      <c r="B111" s="129">
        <f>+'Exercise 6 DCC Paid LDFs'!B14/'Exercise 6 - Paid LDFs'!B11</f>
        <v>6.5421810007082318E-2</v>
      </c>
      <c r="C111" s="129">
        <f>+'Exercise 6 DCC Paid LDFs'!C14/'Exercise 6 - Paid LDFs'!C11</f>
        <v>7.5265394024557453E-2</v>
      </c>
      <c r="D111" s="129">
        <f>+'Exercise 6 DCC Paid LDFs'!D14/'Exercise 6 - Paid LDFs'!D11</f>
        <v>0.12676855587508831</v>
      </c>
      <c r="E111" s="129">
        <f>+'Exercise 6 DCC Paid LDFs'!E14/'Exercise 6 - Paid LDFs'!E11</f>
        <v>0.25864788787685772</v>
      </c>
      <c r="F111" s="129">
        <f>+'Exercise 6 DCC Paid LDFs'!F14/'Exercise 6 - Paid LDFs'!F11</f>
        <v>0.28218094814342898</v>
      </c>
      <c r="G111" s="129">
        <f>+'Exercise 6 DCC Paid LDFs'!G14/'Exercise 6 - Paid LDFs'!G11</f>
        <v>0.28291339239362301</v>
      </c>
      <c r="H111" s="129">
        <f>+'Exercise 6 DCC Paid LDFs'!H14/'Exercise 6 - Paid LDFs'!H11</f>
        <v>0.29000954206156299</v>
      </c>
      <c r="I111" s="129">
        <f>+'Exercise 6 DCC Paid LDFs'!I14/'Exercise 6 - Paid LDFs'!I11</f>
        <v>0.29235851049931799</v>
      </c>
      <c r="J111" s="129">
        <f>+'Exercise 6 DCC Paid LDFs'!J14/'Exercise 6 - Paid LDFs'!J11</f>
        <v>0.29473178613215145</v>
      </c>
      <c r="K111" s="129">
        <f>+'Exercise 6 DCC Paid LDFs'!K14/'Exercise 6 - Paid LDFs'!K11</f>
        <v>0.29781204867242628</v>
      </c>
      <c r="L111" s="129">
        <f>+'Exercise 6 DCC Paid LDFs'!L14/'Exercise 6 - Paid LDFs'!L11</f>
        <v>0.29768347453003557</v>
      </c>
      <c r="M111" s="129">
        <f>+'Exercise 6 DCC Paid LDFs'!M14/'Exercise 6 - Paid LDFs'!M11</f>
        <v>0.29298363345879941</v>
      </c>
      <c r="N111" s="129">
        <f>+'Exercise 6 DCC Paid LDFs'!N14/'Exercise 6 - Paid LDFs'!N11</f>
        <v>0.2596901157577115</v>
      </c>
      <c r="O111" s="129">
        <f>+'Exercise 6 DCC Paid LDFs'!O14/'Exercise 6 - Paid LDFs'!O11</f>
        <v>0.26243420700778619</v>
      </c>
      <c r="P111" s="129"/>
      <c r="Q111" s="63"/>
      <c r="R111" s="63"/>
      <c r="S111" s="305"/>
      <c r="T111" s="245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</row>
    <row r="112" spans="1:42">
      <c r="A112" s="49">
        <f t="shared" si="9"/>
        <v>2004</v>
      </c>
      <c r="B112" s="129">
        <f>+'Exercise 6 DCC Paid LDFs'!B15/'Exercise 6 - Paid LDFs'!B12</f>
        <v>8.0574164694523165E-2</v>
      </c>
      <c r="C112" s="129">
        <f>+'Exercise 6 DCC Paid LDFs'!C15/'Exercise 6 - Paid LDFs'!C12</f>
        <v>7.3327220272851559E-2</v>
      </c>
      <c r="D112" s="129">
        <f>+'Exercise 6 DCC Paid LDFs'!D15/'Exercise 6 - Paid LDFs'!D12</f>
        <v>0.13195407385831845</v>
      </c>
      <c r="E112" s="129">
        <f>+'Exercise 6 DCC Paid LDFs'!E15/'Exercise 6 - Paid LDFs'!E12</f>
        <v>0.19370730813041359</v>
      </c>
      <c r="F112" s="129">
        <f>+'Exercise 6 DCC Paid LDFs'!F15/'Exercise 6 - Paid LDFs'!F12</f>
        <v>0.20390407643292266</v>
      </c>
      <c r="G112" s="129">
        <f>+'Exercise 6 DCC Paid LDFs'!G15/'Exercise 6 - Paid LDFs'!G12</f>
        <v>0.20902877494104988</v>
      </c>
      <c r="H112" s="129">
        <f>+'Exercise 6 DCC Paid LDFs'!H15/'Exercise 6 - Paid LDFs'!H12</f>
        <v>0.21299644947048582</v>
      </c>
      <c r="I112" s="129">
        <f>+'Exercise 6 DCC Paid LDFs'!I15/'Exercise 6 - Paid LDFs'!I12</f>
        <v>0.21723676502083905</v>
      </c>
      <c r="J112" s="129">
        <f>+'Exercise 6 DCC Paid LDFs'!J15/'Exercise 6 - Paid LDFs'!J12</f>
        <v>0.21984360620108911</v>
      </c>
      <c r="K112" s="129">
        <f>+'Exercise 6 DCC Paid LDFs'!K15/'Exercise 6 - Paid LDFs'!K12</f>
        <v>0.22181319035757424</v>
      </c>
      <c r="L112" s="129">
        <f>+'Exercise 6 DCC Paid LDFs'!L15/'Exercise 6 - Paid LDFs'!L12</f>
        <v>0.2190069268349194</v>
      </c>
      <c r="M112" s="129">
        <f>+'Exercise 6 DCC Paid LDFs'!M15/'Exercise 6 - Paid LDFs'!M12</f>
        <v>0.18988725666539008</v>
      </c>
      <c r="N112" s="129">
        <f>+'Exercise 6 DCC Paid LDFs'!N15/'Exercise 6 - Paid LDFs'!N12</f>
        <v>0.18976802184824523</v>
      </c>
      <c r="O112" s="129"/>
      <c r="P112" s="129"/>
      <c r="Q112" s="63"/>
      <c r="R112" s="63"/>
      <c r="S112" s="305"/>
      <c r="T112" s="245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</row>
    <row r="113" spans="1:42">
      <c r="A113" s="49">
        <f t="shared" si="9"/>
        <v>2005</v>
      </c>
      <c r="B113" s="129">
        <f>+'Exercise 6 DCC Paid LDFs'!B16/'Exercise 6 - Paid LDFs'!B13</f>
        <v>6.8544156347068411E-2</v>
      </c>
      <c r="C113" s="129">
        <f>+'Exercise 6 DCC Paid LDFs'!C16/'Exercise 6 - Paid LDFs'!C13</f>
        <v>9.3765511437618784E-2</v>
      </c>
      <c r="D113" s="129">
        <f>+'Exercise 6 DCC Paid LDFs'!D16/'Exercise 6 - Paid LDFs'!D13</f>
        <v>0.26903375577458111</v>
      </c>
      <c r="E113" s="129">
        <f>+'Exercise 6 DCC Paid LDFs'!E16/'Exercise 6 - Paid LDFs'!E13</f>
        <v>0.38547635532597596</v>
      </c>
      <c r="F113" s="129">
        <f>+'Exercise 6 DCC Paid LDFs'!F16/'Exercise 6 - Paid LDFs'!F13</f>
        <v>0.35465524352801653</v>
      </c>
      <c r="G113" s="129">
        <f>+'Exercise 6 DCC Paid LDFs'!G16/'Exercise 6 - Paid LDFs'!G13</f>
        <v>0.32261335626559057</v>
      </c>
      <c r="H113" s="129">
        <f>+'Exercise 6 DCC Paid LDFs'!H16/'Exercise 6 - Paid LDFs'!H13</f>
        <v>0.30754474688494721</v>
      </c>
      <c r="I113" s="129">
        <f>+'Exercise 6 DCC Paid LDFs'!I16/'Exercise 6 - Paid LDFs'!I13</f>
        <v>0.30440476835819158</v>
      </c>
      <c r="J113" s="129">
        <f>+'Exercise 6 DCC Paid LDFs'!J16/'Exercise 6 - Paid LDFs'!J13</f>
        <v>0.29328498169568834</v>
      </c>
      <c r="K113" s="129">
        <f>+'Exercise 6 DCC Paid LDFs'!K16/'Exercise 6 - Paid LDFs'!K13</f>
        <v>0.28157164859689632</v>
      </c>
      <c r="L113" s="129">
        <f>+'Exercise 6 DCC Paid LDFs'!L16/'Exercise 6 - Paid LDFs'!L13</f>
        <v>0.21418733899944561</v>
      </c>
      <c r="M113" s="129">
        <f>+'Exercise 6 DCC Paid LDFs'!M16/'Exercise 6 - Paid LDFs'!M13</f>
        <v>0.21874243009343428</v>
      </c>
      <c r="N113" s="129"/>
      <c r="O113" s="129"/>
      <c r="P113" s="129"/>
      <c r="Q113" s="63"/>
      <c r="R113" s="63"/>
      <c r="S113" s="305"/>
      <c r="T113" s="245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</row>
    <row r="114" spans="1:42">
      <c r="A114" s="49">
        <f t="shared" si="9"/>
        <v>2006</v>
      </c>
      <c r="B114" s="129">
        <f>+'Exercise 6 DCC Paid LDFs'!B17/'Exercise 6 - Paid LDFs'!B14</f>
        <v>6.262905822461351E-2</v>
      </c>
      <c r="C114" s="129">
        <f>+'Exercise 6 DCC Paid LDFs'!C17/'Exercise 6 - Paid LDFs'!C14</f>
        <v>0.14649980794754236</v>
      </c>
      <c r="D114" s="129">
        <f>+'Exercise 6 DCC Paid LDFs'!D17/'Exercise 6 - Paid LDFs'!D14</f>
        <v>0.20283831592345644</v>
      </c>
      <c r="E114" s="129">
        <f>+'Exercise 6 DCC Paid LDFs'!E17/'Exercise 6 - Paid LDFs'!E14</f>
        <v>0.26245691568000312</v>
      </c>
      <c r="F114" s="129">
        <f>+'Exercise 6 DCC Paid LDFs'!F17/'Exercise 6 - Paid LDFs'!F14</f>
        <v>0.30780199820448428</v>
      </c>
      <c r="G114" s="129">
        <f>+'Exercise 6 DCC Paid LDFs'!G17/'Exercise 6 - Paid LDFs'!G14</f>
        <v>0.27243863043465311</v>
      </c>
      <c r="H114" s="129">
        <f>+'Exercise 6 DCC Paid LDFs'!H17/'Exercise 6 - Paid LDFs'!H14</f>
        <v>0.26458737321785986</v>
      </c>
      <c r="I114" s="129">
        <f>+'Exercise 6 DCC Paid LDFs'!I17/'Exercise 6 - Paid LDFs'!I14</f>
        <v>0.2611905106628194</v>
      </c>
      <c r="J114" s="129">
        <f>+'Exercise 6 DCC Paid LDFs'!J17/'Exercise 6 - Paid LDFs'!J14</f>
        <v>0.24670714693312373</v>
      </c>
      <c r="K114" s="129">
        <f>+'Exercise 6 DCC Paid LDFs'!K17/'Exercise 6 - Paid LDFs'!K14</f>
        <v>0.24273021401532774</v>
      </c>
      <c r="L114" s="129">
        <f>+'Exercise 6 DCC Paid LDFs'!L17/'Exercise 6 - Paid LDFs'!L14</f>
        <v>0.22025091774508193</v>
      </c>
      <c r="M114" s="129"/>
      <c r="N114" s="129"/>
      <c r="O114" s="129"/>
      <c r="P114" s="129"/>
      <c r="Q114" s="63"/>
      <c r="R114" s="63"/>
      <c r="S114" s="305"/>
      <c r="T114" s="245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</row>
    <row r="115" spans="1:42">
      <c r="A115" s="49">
        <f t="shared" si="9"/>
        <v>2007</v>
      </c>
      <c r="B115" s="129">
        <f>+'Exercise 6 DCC Paid LDFs'!B18/'Exercise 6 - Paid LDFs'!B15</f>
        <v>0.10295015174021616</v>
      </c>
      <c r="C115" s="129">
        <f>+'Exercise 6 DCC Paid LDFs'!C18/'Exercise 6 - Paid LDFs'!C15</f>
        <v>0.27315349160266661</v>
      </c>
      <c r="D115" s="129">
        <f>+'Exercise 6 DCC Paid LDFs'!D18/'Exercise 6 - Paid LDFs'!D15</f>
        <v>0.44453502692057811</v>
      </c>
      <c r="E115" s="129">
        <f>+'Exercise 6 DCC Paid LDFs'!E18/'Exercise 6 - Paid LDFs'!E15</f>
        <v>0.57284661114998658</v>
      </c>
      <c r="F115" s="129">
        <f>+'Exercise 6 DCC Paid LDFs'!F18/'Exercise 6 - Paid LDFs'!F15</f>
        <v>0.49679822599036688</v>
      </c>
      <c r="G115" s="129">
        <f>+'Exercise 6 DCC Paid LDFs'!G18/'Exercise 6 - Paid LDFs'!G15</f>
        <v>0.46581303454461587</v>
      </c>
      <c r="H115" s="129">
        <f>+'Exercise 6 DCC Paid LDFs'!H18/'Exercise 6 - Paid LDFs'!H15</f>
        <v>0.46309159928938393</v>
      </c>
      <c r="I115" s="129">
        <f>+'Exercise 6 DCC Paid LDFs'!I18/'Exercise 6 - Paid LDFs'!I15</f>
        <v>0.42287445612263358</v>
      </c>
      <c r="J115" s="129">
        <f>+'Exercise 6 DCC Paid LDFs'!J18/'Exercise 6 - Paid LDFs'!J15</f>
        <v>0.37234336955500918</v>
      </c>
      <c r="K115" s="129">
        <f>+'Exercise 6 DCC Paid LDFs'!K18/'Exercise 6 - Paid LDFs'!K15</f>
        <v>0.38312201040520227</v>
      </c>
      <c r="L115" s="129"/>
      <c r="M115" s="129"/>
      <c r="N115" s="129"/>
      <c r="O115" s="129"/>
      <c r="P115" s="129"/>
      <c r="Q115" s="63"/>
      <c r="R115" s="63"/>
      <c r="S115" s="305"/>
      <c r="T115" s="245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</row>
    <row r="116" spans="1:42">
      <c r="A116" s="49">
        <f t="shared" si="9"/>
        <v>2008</v>
      </c>
      <c r="B116" s="129">
        <f>+'Exercise 6 DCC Paid LDFs'!B19/'Exercise 6 - Paid LDFs'!B16</f>
        <v>0.13555075365686861</v>
      </c>
      <c r="C116" s="129">
        <f>+'Exercise 6 DCC Paid LDFs'!C19/'Exercise 6 - Paid LDFs'!C16</f>
        <v>0.24766294742526179</v>
      </c>
      <c r="D116" s="129">
        <f>+'Exercise 6 DCC Paid LDFs'!D19/'Exercise 6 - Paid LDFs'!D16</f>
        <v>0.43028635909013691</v>
      </c>
      <c r="E116" s="129">
        <f>+'Exercise 6 DCC Paid LDFs'!E19/'Exercise 6 - Paid LDFs'!E16</f>
        <v>0.55553335136347815</v>
      </c>
      <c r="F116" s="129">
        <f>+'Exercise 6 DCC Paid LDFs'!F19/'Exercise 6 - Paid LDFs'!F16</f>
        <v>0.72035276317141061</v>
      </c>
      <c r="G116" s="129">
        <f>+'Exercise 6 DCC Paid LDFs'!G19/'Exercise 6 - Paid LDFs'!G16</f>
        <v>0.69420390841103341</v>
      </c>
      <c r="H116" s="129">
        <f>+'Exercise 6 DCC Paid LDFs'!H19/'Exercise 6 - Paid LDFs'!H16</f>
        <v>0.66049022268668089</v>
      </c>
      <c r="I116" s="129">
        <f>+'Exercise 6 DCC Paid LDFs'!I19/'Exercise 6 - Paid LDFs'!I16</f>
        <v>0.56627618816412162</v>
      </c>
      <c r="J116" s="129">
        <f>+'Exercise 6 DCC Paid LDFs'!J19/'Exercise 6 - Paid LDFs'!J16</f>
        <v>0.55403284670948127</v>
      </c>
      <c r="K116" s="129"/>
      <c r="L116" s="129"/>
      <c r="M116" s="129"/>
      <c r="N116" s="129"/>
      <c r="O116" s="129"/>
      <c r="P116" s="129"/>
      <c r="Q116" s="63"/>
      <c r="R116" s="63"/>
      <c r="S116" s="305"/>
      <c r="T116" s="245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</row>
    <row r="117" spans="1:42">
      <c r="A117" s="49">
        <f t="shared" si="9"/>
        <v>2009</v>
      </c>
      <c r="B117" s="129">
        <f>+'Exercise 6 DCC Paid LDFs'!B20/'Exercise 6 - Paid LDFs'!B17</f>
        <v>2.7837519824695862E-2</v>
      </c>
      <c r="C117" s="129">
        <f>+'Exercise 6 DCC Paid LDFs'!C20/'Exercise 6 - Paid LDFs'!C17</f>
        <v>5.7112259364528163E-2</v>
      </c>
      <c r="D117" s="129">
        <f>+'Exercise 6 DCC Paid LDFs'!D20/'Exercise 6 - Paid LDFs'!D17</f>
        <v>0.20042852806278991</v>
      </c>
      <c r="E117" s="129">
        <f>+'Exercise 6 DCC Paid LDFs'!E20/'Exercise 6 - Paid LDFs'!E17</f>
        <v>0.44810055600845639</v>
      </c>
      <c r="F117" s="129">
        <f>+'Exercise 6 DCC Paid LDFs'!F20/'Exercise 6 - Paid LDFs'!F17</f>
        <v>0.48293975884583612</v>
      </c>
      <c r="G117" s="129">
        <f>+'Exercise 6 DCC Paid LDFs'!G20/'Exercise 6 - Paid LDFs'!G17</f>
        <v>0.46390495759129369</v>
      </c>
      <c r="H117" s="129">
        <f>+'Exercise 6 DCC Paid LDFs'!H20/'Exercise 6 - Paid LDFs'!H17</f>
        <v>0.45381419166327591</v>
      </c>
      <c r="I117" s="129">
        <f>+'Exercise 6 DCC Paid LDFs'!I20/'Exercise 6 - Paid LDFs'!I17</f>
        <v>0.45719068155080067</v>
      </c>
      <c r="J117" s="129"/>
      <c r="K117" s="129"/>
      <c r="L117" s="129"/>
      <c r="M117" s="129"/>
      <c r="N117" s="129"/>
      <c r="O117" s="129"/>
      <c r="P117" s="129"/>
      <c r="Q117" s="63"/>
      <c r="R117" s="63"/>
      <c r="S117" s="305"/>
      <c r="T117" s="245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</row>
    <row r="118" spans="1:42">
      <c r="A118" s="49">
        <f t="shared" si="9"/>
        <v>2010</v>
      </c>
      <c r="B118" s="129">
        <f>+'Exercise 6 DCC Paid LDFs'!B21/'Exercise 6 - Paid LDFs'!B18</f>
        <v>7.5533848365721856E-2</v>
      </c>
      <c r="C118" s="129">
        <f>+'Exercise 6 DCC Paid LDFs'!C21/'Exercise 6 - Paid LDFs'!C18</f>
        <v>0.13518023454457898</v>
      </c>
      <c r="D118" s="129">
        <f>+'Exercise 6 DCC Paid LDFs'!D21/'Exercise 6 - Paid LDFs'!D18</f>
        <v>0.2824984466179345</v>
      </c>
      <c r="E118" s="129">
        <f>+'Exercise 6 DCC Paid LDFs'!E21/'Exercise 6 - Paid LDFs'!E18</f>
        <v>0.27888498475221934</v>
      </c>
      <c r="F118" s="129">
        <f>+'Exercise 6 DCC Paid LDFs'!F21/'Exercise 6 - Paid LDFs'!F18</f>
        <v>0.34448586344273024</v>
      </c>
      <c r="G118" s="129">
        <f>+'Exercise 6 DCC Paid LDFs'!G21/'Exercise 6 - Paid LDFs'!G18</f>
        <v>0.33704373011144395</v>
      </c>
      <c r="H118" s="129">
        <f>+'Exercise 6 DCC Paid LDFs'!H21/'Exercise 6 - Paid LDFs'!H18</f>
        <v>0.33398214741752885</v>
      </c>
      <c r="I118" s="129"/>
      <c r="J118" s="129"/>
      <c r="K118" s="129"/>
      <c r="L118" s="129"/>
      <c r="M118" s="129"/>
      <c r="N118" s="129"/>
      <c r="O118" s="129"/>
      <c r="P118" s="129"/>
      <c r="Q118" s="63"/>
      <c r="R118" s="63"/>
      <c r="S118" s="305"/>
      <c r="T118" s="245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</row>
    <row r="119" spans="1:42">
      <c r="A119" s="49">
        <f t="shared" si="9"/>
        <v>2011</v>
      </c>
      <c r="B119" s="129">
        <f>+'Exercise 6 DCC Paid LDFs'!B22/'Exercise 6 - Paid LDFs'!B19</f>
        <v>0.11007682563135797</v>
      </c>
      <c r="C119" s="129">
        <f>+'Exercise 6 DCC Paid LDFs'!C22/'Exercise 6 - Paid LDFs'!C19</f>
        <v>0.10097011471826625</v>
      </c>
      <c r="D119" s="129">
        <f>+'Exercise 6 DCC Paid LDFs'!D22/'Exercise 6 - Paid LDFs'!D19</f>
        <v>0.25499782974537721</v>
      </c>
      <c r="E119" s="129">
        <f>+'Exercise 6 DCC Paid LDFs'!E22/'Exercise 6 - Paid LDFs'!E19</f>
        <v>0.26913524839768044</v>
      </c>
      <c r="F119" s="129">
        <f>+'Exercise 6 DCC Paid LDFs'!F22/'Exercise 6 - Paid LDFs'!F19</f>
        <v>0.17455895387436768</v>
      </c>
      <c r="G119" s="129">
        <f>+'Exercise 6 DCC Paid LDFs'!G22/'Exercise 6 - Paid LDFs'!G19</f>
        <v>0.15998731558204765</v>
      </c>
      <c r="H119" s="129"/>
      <c r="I119" s="129"/>
      <c r="J119" s="129"/>
      <c r="K119" s="129"/>
      <c r="L119" s="129"/>
      <c r="M119" s="129"/>
      <c r="N119" s="129"/>
      <c r="O119" s="129"/>
      <c r="P119" s="129"/>
      <c r="Q119" s="63"/>
      <c r="R119" s="63"/>
      <c r="S119" s="305"/>
      <c r="T119" s="245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</row>
    <row r="120" spans="1:42">
      <c r="A120" s="49">
        <f t="shared" si="9"/>
        <v>2012</v>
      </c>
      <c r="B120" s="129">
        <f>+'Exercise 6 DCC Paid LDFs'!B23/'Exercise 6 - Paid LDFs'!B20</f>
        <v>3.2827254319748506E-2</v>
      </c>
      <c r="C120" s="129">
        <f>+'Exercise 6 DCC Paid LDFs'!C23/'Exercise 6 - Paid LDFs'!C20</f>
        <v>6.2692510067892684E-2</v>
      </c>
      <c r="D120" s="129">
        <f>+'Exercise 6 DCC Paid LDFs'!D23/'Exercise 6 - Paid LDFs'!D20</f>
        <v>0.20110878937033727</v>
      </c>
      <c r="E120" s="129">
        <f>+'Exercise 6 DCC Paid LDFs'!E23/'Exercise 6 - Paid LDFs'!E20</f>
        <v>0.32948092506653498</v>
      </c>
      <c r="F120" s="129">
        <f>+'Exercise 6 DCC Paid LDFs'!F23/'Exercise 6 - Paid LDFs'!F20</f>
        <v>0.25275324363947849</v>
      </c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63"/>
      <c r="R120" s="63"/>
      <c r="S120" s="305"/>
      <c r="T120" s="245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</row>
    <row r="121" spans="1:42">
      <c r="A121" s="49">
        <f t="shared" si="9"/>
        <v>2013</v>
      </c>
      <c r="B121" s="129">
        <f>+'Exercise 6 DCC Paid LDFs'!B24/'Exercise 6 - Paid LDFs'!B21</f>
        <v>4.9316677421692892E-2</v>
      </c>
      <c r="C121" s="129">
        <f>+'Exercise 6 DCC Paid LDFs'!C24/'Exercise 6 - Paid LDFs'!C21</f>
        <v>8.5534068506764954E-2</v>
      </c>
      <c r="D121" s="129">
        <f>+'Exercise 6 DCC Paid LDFs'!D24/'Exercise 6 - Paid LDFs'!D21</f>
        <v>0.2147363294721796</v>
      </c>
      <c r="E121" s="129">
        <f>+'Exercise 6 DCC Paid LDFs'!E24/'Exercise 6 - Paid LDFs'!E21</f>
        <v>0.41636247840169366</v>
      </c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63"/>
      <c r="R121" s="63"/>
      <c r="S121" s="305"/>
      <c r="T121" s="245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</row>
    <row r="122" spans="1:42">
      <c r="A122" s="49">
        <f t="shared" si="9"/>
        <v>2014</v>
      </c>
      <c r="B122" s="129">
        <f>+'Exercise 6 DCC Paid LDFs'!B25/'Exercise 6 - Paid LDFs'!B22</f>
        <v>0.13295556565360028</v>
      </c>
      <c r="C122" s="129">
        <f>+'Exercise 6 DCC Paid LDFs'!C25/'Exercise 6 - Paid LDFs'!C22</f>
        <v>0.21520890412600202</v>
      </c>
      <c r="D122" s="129">
        <f>+'Exercise 6 DCC Paid LDFs'!D25/'Exercise 6 - Paid LDFs'!D22</f>
        <v>0.33510473535790664</v>
      </c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63"/>
      <c r="R122" s="63"/>
      <c r="S122" s="305"/>
      <c r="T122" s="245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</row>
    <row r="123" spans="1:42">
      <c r="A123" s="49">
        <f>+A124-1</f>
        <v>2015</v>
      </c>
      <c r="B123" s="129">
        <f>+'Exercise 6 DCC Paid LDFs'!B26/'Exercise 6 - Paid LDFs'!B23</f>
        <v>0.21622125999349351</v>
      </c>
      <c r="C123" s="129">
        <f>+'Exercise 6 DCC Paid LDFs'!C26/'Exercise 6 - Paid LDFs'!C23</f>
        <v>0.18574767021915187</v>
      </c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63"/>
      <c r="R123" s="63"/>
      <c r="S123" s="305"/>
      <c r="T123" s="245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</row>
    <row r="124" spans="1:42">
      <c r="A124" s="51">
        <f>+EndYear</f>
        <v>2016</v>
      </c>
      <c r="B124" s="129">
        <f>+'Exercise 6 DCC Paid LDFs'!B27/'Exercise 6 - Paid LDFs'!B24</f>
        <v>0.11867491152017647</v>
      </c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63"/>
      <c r="R124" s="63"/>
      <c r="S124" s="305"/>
      <c r="T124" s="245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</row>
    <row r="125" spans="1:42" ht="15.75"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53"/>
      <c r="M125" s="53"/>
      <c r="N125" s="53"/>
      <c r="O125" s="53"/>
      <c r="P125" s="53"/>
      <c r="Q125" s="63"/>
      <c r="R125" s="63"/>
      <c r="S125" s="63"/>
      <c r="T125" s="1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</row>
    <row r="126" spans="1:42"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</row>
    <row r="127" spans="1:42">
      <c r="A127" s="40" t="str">
        <f>'[1]Exercise 12 - Pd to PD factors'!$A$10</f>
        <v>Accident</v>
      </c>
      <c r="B127" s="41" t="s">
        <v>8</v>
      </c>
      <c r="C127" s="41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5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</row>
    <row r="128" spans="1:42">
      <c r="A128" s="43" t="s">
        <v>5</v>
      </c>
      <c r="B128" s="56" t="s">
        <v>9</v>
      </c>
      <c r="C128" s="56" t="s">
        <v>10</v>
      </c>
      <c r="D128" s="56" t="s">
        <v>11</v>
      </c>
      <c r="E128" s="56" t="s">
        <v>12</v>
      </c>
      <c r="F128" s="56" t="s">
        <v>13</v>
      </c>
      <c r="G128" s="56" t="s">
        <v>14</v>
      </c>
      <c r="H128" s="56" t="s">
        <v>15</v>
      </c>
      <c r="I128" s="56" t="s">
        <v>16</v>
      </c>
      <c r="J128" s="56" t="s">
        <v>17</v>
      </c>
      <c r="K128" s="56" t="s">
        <v>18</v>
      </c>
      <c r="L128" s="56" t="s">
        <v>19</v>
      </c>
      <c r="M128" s="56" t="s">
        <v>20</v>
      </c>
      <c r="N128" s="56" t="s">
        <v>21</v>
      </c>
      <c r="O128" s="56" t="s">
        <v>22</v>
      </c>
      <c r="P128" s="56" t="s">
        <v>23</v>
      </c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</row>
    <row r="129" spans="1:42">
      <c r="A129" s="49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</row>
    <row r="130" spans="1:42">
      <c r="A130" s="49">
        <f t="shared" ref="A130:A143" si="10">+A111</f>
        <v>2003</v>
      </c>
      <c r="B130" s="53">
        <f>+ROUND(C110/B110,3)</f>
        <v>1.361</v>
      </c>
      <c r="C130" s="53">
        <f t="shared" ref="C130:O130" si="11">+ROUND(D110/C110,3)</f>
        <v>1.946</v>
      </c>
      <c r="D130" s="53">
        <f t="shared" si="11"/>
        <v>1.4830000000000001</v>
      </c>
      <c r="E130" s="53">
        <f t="shared" si="11"/>
        <v>1.028</v>
      </c>
      <c r="F130" s="53">
        <f t="shared" si="11"/>
        <v>0.98199999999999998</v>
      </c>
      <c r="G130" s="53">
        <f t="shared" si="11"/>
        <v>0.997</v>
      </c>
      <c r="H130" s="53">
        <f t="shared" si="11"/>
        <v>1.0029999999999999</v>
      </c>
      <c r="I130" s="53">
        <f t="shared" si="11"/>
        <v>0.99299999999999999</v>
      </c>
      <c r="J130" s="53">
        <f t="shared" si="11"/>
        <v>0.99399999999999999</v>
      </c>
      <c r="K130" s="53">
        <f t="shared" si="11"/>
        <v>0.90200000000000002</v>
      </c>
      <c r="L130" s="53">
        <f t="shared" si="11"/>
        <v>0.95399999999999996</v>
      </c>
      <c r="M130" s="53">
        <f t="shared" si="11"/>
        <v>1</v>
      </c>
      <c r="N130" s="53">
        <f t="shared" si="11"/>
        <v>0.99</v>
      </c>
      <c r="O130" s="53">
        <f t="shared" si="11"/>
        <v>1</v>
      </c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</row>
    <row r="131" spans="1:42">
      <c r="A131" s="49">
        <f t="shared" si="10"/>
        <v>2004</v>
      </c>
      <c r="B131" s="53">
        <f t="shared" ref="B131:N143" si="12">+ROUND(C111/B111,3)</f>
        <v>1.1499999999999999</v>
      </c>
      <c r="C131" s="53">
        <f t="shared" si="12"/>
        <v>1.6839999999999999</v>
      </c>
      <c r="D131" s="53">
        <f t="shared" si="12"/>
        <v>2.04</v>
      </c>
      <c r="E131" s="53">
        <f t="shared" si="12"/>
        <v>1.091</v>
      </c>
      <c r="F131" s="53">
        <f t="shared" si="12"/>
        <v>1.0029999999999999</v>
      </c>
      <c r="G131" s="53">
        <f t="shared" si="12"/>
        <v>1.0249999999999999</v>
      </c>
      <c r="H131" s="53">
        <f t="shared" si="12"/>
        <v>1.008</v>
      </c>
      <c r="I131" s="53">
        <f t="shared" si="12"/>
        <v>1.008</v>
      </c>
      <c r="J131" s="53">
        <f t="shared" si="12"/>
        <v>1.01</v>
      </c>
      <c r="K131" s="53">
        <f t="shared" si="12"/>
        <v>1</v>
      </c>
      <c r="L131" s="53">
        <f t="shared" si="12"/>
        <v>0.98399999999999999</v>
      </c>
      <c r="M131" s="53">
        <f t="shared" si="12"/>
        <v>0.88600000000000001</v>
      </c>
      <c r="N131" s="53">
        <f t="shared" si="12"/>
        <v>1.0109999999999999</v>
      </c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</row>
    <row r="132" spans="1:42">
      <c r="A132" s="49">
        <f t="shared" si="10"/>
        <v>2005</v>
      </c>
      <c r="B132" s="53">
        <f t="shared" si="12"/>
        <v>0.91</v>
      </c>
      <c r="C132" s="53">
        <f t="shared" si="12"/>
        <v>1.8</v>
      </c>
      <c r="D132" s="53">
        <f t="shared" si="12"/>
        <v>1.468</v>
      </c>
      <c r="E132" s="53">
        <f t="shared" si="12"/>
        <v>1.0529999999999999</v>
      </c>
      <c r="F132" s="53">
        <f t="shared" si="12"/>
        <v>1.0249999999999999</v>
      </c>
      <c r="G132" s="53">
        <f t="shared" si="12"/>
        <v>1.0189999999999999</v>
      </c>
      <c r="H132" s="53">
        <f t="shared" si="12"/>
        <v>1.02</v>
      </c>
      <c r="I132" s="53">
        <f t="shared" si="12"/>
        <v>1.012</v>
      </c>
      <c r="J132" s="53">
        <f t="shared" si="12"/>
        <v>1.0089999999999999</v>
      </c>
      <c r="K132" s="53">
        <f t="shared" si="12"/>
        <v>0.98699999999999999</v>
      </c>
      <c r="L132" s="53">
        <f t="shared" si="12"/>
        <v>0.86699999999999999</v>
      </c>
      <c r="M132" s="53">
        <f t="shared" si="12"/>
        <v>0.999</v>
      </c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</row>
    <row r="133" spans="1:42">
      <c r="A133" s="49">
        <f t="shared" si="10"/>
        <v>2006</v>
      </c>
      <c r="B133" s="53">
        <f t="shared" si="12"/>
        <v>1.3680000000000001</v>
      </c>
      <c r="C133" s="53">
        <f t="shared" si="12"/>
        <v>2.8690000000000002</v>
      </c>
      <c r="D133" s="53">
        <f t="shared" si="12"/>
        <v>1.4330000000000001</v>
      </c>
      <c r="E133" s="53">
        <f t="shared" si="12"/>
        <v>0.92</v>
      </c>
      <c r="F133" s="53">
        <f t="shared" si="12"/>
        <v>0.91</v>
      </c>
      <c r="G133" s="53">
        <f t="shared" si="12"/>
        <v>0.95299999999999996</v>
      </c>
      <c r="H133" s="53">
        <f t="shared" si="12"/>
        <v>0.99</v>
      </c>
      <c r="I133" s="53">
        <f t="shared" si="12"/>
        <v>0.96299999999999997</v>
      </c>
      <c r="J133" s="53">
        <f t="shared" si="12"/>
        <v>0.96</v>
      </c>
      <c r="K133" s="53">
        <f t="shared" si="12"/>
        <v>0.76100000000000001</v>
      </c>
      <c r="L133" s="53">
        <f t="shared" si="12"/>
        <v>1.0209999999999999</v>
      </c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</row>
    <row r="134" spans="1:42">
      <c r="A134" s="49">
        <f t="shared" si="10"/>
        <v>2007</v>
      </c>
      <c r="B134" s="53">
        <f t="shared" si="12"/>
        <v>2.339</v>
      </c>
      <c r="C134" s="53">
        <f t="shared" si="12"/>
        <v>1.385</v>
      </c>
      <c r="D134" s="53">
        <f t="shared" si="12"/>
        <v>1.294</v>
      </c>
      <c r="E134" s="53">
        <f t="shared" si="12"/>
        <v>1.173</v>
      </c>
      <c r="F134" s="53">
        <f t="shared" si="12"/>
        <v>0.88500000000000001</v>
      </c>
      <c r="G134" s="53">
        <f t="shared" si="12"/>
        <v>0.97099999999999997</v>
      </c>
      <c r="H134" s="53">
        <f t="shared" si="12"/>
        <v>0.98699999999999999</v>
      </c>
      <c r="I134" s="53">
        <f t="shared" si="12"/>
        <v>0.94499999999999995</v>
      </c>
      <c r="J134" s="53">
        <f t="shared" si="12"/>
        <v>0.98399999999999999</v>
      </c>
      <c r="K134" s="53">
        <f t="shared" si="12"/>
        <v>0.90700000000000003</v>
      </c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</row>
    <row r="135" spans="1:42">
      <c r="A135" s="49">
        <f t="shared" si="10"/>
        <v>2008</v>
      </c>
      <c r="B135" s="53">
        <f t="shared" si="12"/>
        <v>2.653</v>
      </c>
      <c r="C135" s="53">
        <f t="shared" si="12"/>
        <v>1.627</v>
      </c>
      <c r="D135" s="53">
        <f t="shared" si="12"/>
        <v>1.2889999999999999</v>
      </c>
      <c r="E135" s="53">
        <f t="shared" si="12"/>
        <v>0.86699999999999999</v>
      </c>
      <c r="F135" s="53">
        <f t="shared" si="12"/>
        <v>0.93799999999999994</v>
      </c>
      <c r="G135" s="53">
        <f t="shared" si="12"/>
        <v>0.99399999999999999</v>
      </c>
      <c r="H135" s="53">
        <f t="shared" si="12"/>
        <v>0.91300000000000003</v>
      </c>
      <c r="I135" s="53">
        <f t="shared" si="12"/>
        <v>0.88100000000000001</v>
      </c>
      <c r="J135" s="53">
        <f t="shared" si="12"/>
        <v>1.0289999999999999</v>
      </c>
      <c r="K135" s="53"/>
      <c r="L135" s="53"/>
      <c r="M135" s="53"/>
      <c r="N135" s="53"/>
      <c r="O135" s="53"/>
      <c r="P135" s="5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</row>
    <row r="136" spans="1:42">
      <c r="A136" s="49">
        <f t="shared" si="10"/>
        <v>2009</v>
      </c>
      <c r="B136" s="53">
        <f t="shared" si="12"/>
        <v>1.827</v>
      </c>
      <c r="C136" s="53">
        <f t="shared" si="12"/>
        <v>1.7370000000000001</v>
      </c>
      <c r="D136" s="53">
        <f t="shared" si="12"/>
        <v>1.2909999999999999</v>
      </c>
      <c r="E136" s="53">
        <f t="shared" si="12"/>
        <v>1.2969999999999999</v>
      </c>
      <c r="F136" s="53">
        <f t="shared" si="12"/>
        <v>0.96399999999999997</v>
      </c>
      <c r="G136" s="53">
        <f t="shared" si="12"/>
        <v>0.95099999999999996</v>
      </c>
      <c r="H136" s="53">
        <f t="shared" si="12"/>
        <v>0.85699999999999998</v>
      </c>
      <c r="I136" s="53">
        <f t="shared" si="12"/>
        <v>0.97799999999999998</v>
      </c>
      <c r="J136" s="53"/>
      <c r="K136" s="53"/>
      <c r="L136" s="53"/>
      <c r="M136" s="53"/>
      <c r="N136" s="53"/>
      <c r="O136" s="53"/>
      <c r="P136" s="5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</row>
    <row r="137" spans="1:42">
      <c r="A137" s="49">
        <f t="shared" si="10"/>
        <v>2010</v>
      </c>
      <c r="B137" s="53">
        <f t="shared" si="12"/>
        <v>2.052</v>
      </c>
      <c r="C137" s="53">
        <f t="shared" si="12"/>
        <v>3.5089999999999999</v>
      </c>
      <c r="D137" s="53">
        <f t="shared" si="12"/>
        <v>2.2360000000000002</v>
      </c>
      <c r="E137" s="53">
        <f t="shared" si="12"/>
        <v>1.0780000000000001</v>
      </c>
      <c r="F137" s="53">
        <f t="shared" si="12"/>
        <v>0.96099999999999997</v>
      </c>
      <c r="G137" s="53">
        <f t="shared" si="12"/>
        <v>0.97799999999999998</v>
      </c>
      <c r="H137" s="53">
        <f t="shared" si="12"/>
        <v>1.0069999999999999</v>
      </c>
      <c r="I137" s="53"/>
      <c r="J137" s="53"/>
      <c r="K137" s="53"/>
      <c r="L137" s="53"/>
      <c r="M137" s="53"/>
      <c r="N137" s="53"/>
      <c r="O137" s="53"/>
      <c r="P137" s="5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</row>
    <row r="138" spans="1:42">
      <c r="A138" s="49">
        <f t="shared" si="10"/>
        <v>2011</v>
      </c>
      <c r="B138" s="53">
        <f t="shared" si="12"/>
        <v>1.79</v>
      </c>
      <c r="C138" s="53">
        <f t="shared" si="12"/>
        <v>2.09</v>
      </c>
      <c r="D138" s="53">
        <f t="shared" si="12"/>
        <v>0.98699999999999999</v>
      </c>
      <c r="E138" s="53">
        <f t="shared" si="12"/>
        <v>1.2350000000000001</v>
      </c>
      <c r="F138" s="53">
        <f t="shared" si="12"/>
        <v>0.97799999999999998</v>
      </c>
      <c r="G138" s="53">
        <f t="shared" si="12"/>
        <v>0.99099999999999999</v>
      </c>
      <c r="H138" s="53"/>
      <c r="I138" s="53"/>
      <c r="J138" s="53"/>
      <c r="K138" s="53"/>
      <c r="L138" s="53"/>
      <c r="M138" s="53"/>
      <c r="N138" s="53"/>
      <c r="O138" s="53"/>
      <c r="P138" s="5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</row>
    <row r="139" spans="1:42">
      <c r="A139" s="49">
        <f t="shared" si="10"/>
        <v>2012</v>
      </c>
      <c r="B139" s="53">
        <f t="shared" si="12"/>
        <v>0.91700000000000004</v>
      </c>
      <c r="C139" s="53">
        <f t="shared" si="12"/>
        <v>2.5249999999999999</v>
      </c>
      <c r="D139" s="53">
        <f t="shared" si="12"/>
        <v>1.0549999999999999</v>
      </c>
      <c r="E139" s="53">
        <f t="shared" si="12"/>
        <v>0.64900000000000002</v>
      </c>
      <c r="F139" s="53">
        <f t="shared" si="12"/>
        <v>0.91700000000000004</v>
      </c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</row>
    <row r="140" spans="1:42">
      <c r="A140" s="49">
        <f t="shared" si="10"/>
        <v>2013</v>
      </c>
      <c r="B140" s="53">
        <f t="shared" si="12"/>
        <v>1.91</v>
      </c>
      <c r="C140" s="53">
        <f t="shared" si="12"/>
        <v>3.2080000000000002</v>
      </c>
      <c r="D140" s="53">
        <f t="shared" si="12"/>
        <v>1.6379999999999999</v>
      </c>
      <c r="E140" s="53">
        <f t="shared" si="12"/>
        <v>0.76700000000000002</v>
      </c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</row>
    <row r="141" spans="1:42">
      <c r="A141" s="49">
        <f t="shared" si="10"/>
        <v>2014</v>
      </c>
      <c r="B141" s="53">
        <f t="shared" si="12"/>
        <v>1.734</v>
      </c>
      <c r="C141" s="53">
        <f t="shared" si="12"/>
        <v>2.5110000000000001</v>
      </c>
      <c r="D141" s="53">
        <f t="shared" si="12"/>
        <v>1.9390000000000001</v>
      </c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</row>
    <row r="142" spans="1:42">
      <c r="A142" s="49">
        <f t="shared" si="10"/>
        <v>2015</v>
      </c>
      <c r="B142" s="53">
        <f t="shared" si="12"/>
        <v>1.619</v>
      </c>
      <c r="C142" s="53">
        <f t="shared" si="12"/>
        <v>1.5569999999999999</v>
      </c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</row>
    <row r="143" spans="1:42">
      <c r="A143" s="51">
        <f t="shared" si="10"/>
        <v>2016</v>
      </c>
      <c r="B143" s="53">
        <f t="shared" si="12"/>
        <v>0.85899999999999999</v>
      </c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</row>
    <row r="145" spans="1:15">
      <c r="A145" s="59" t="s">
        <v>24</v>
      </c>
    </row>
    <row r="146" spans="1:15">
      <c r="A146" s="59" t="s">
        <v>25</v>
      </c>
      <c r="B146" s="314">
        <f>+'Exercise 12 - DCC Pd Pd LDFs'!B49</f>
        <v>1.4039999999999999</v>
      </c>
      <c r="C146" s="314">
        <f>+'Exercise 12 - DCC Pd Pd LDFs'!C49</f>
        <v>2.4249999999999998</v>
      </c>
      <c r="D146" s="314">
        <f>+'Exercise 12 - DCC Pd Pd LDFs'!D49</f>
        <v>1.544</v>
      </c>
      <c r="E146" s="295">
        <f>ROUND(AVERAGE(E138:E140),3)</f>
        <v>0.88400000000000001</v>
      </c>
      <c r="F146" s="295">
        <f>ROUND(AVERAGE(F137:F139),3)</f>
        <v>0.95199999999999996</v>
      </c>
      <c r="G146" s="295">
        <f>ROUND(AVERAGE(G136:G138),3)</f>
        <v>0.97299999999999998</v>
      </c>
      <c r="H146" s="53" t="str">
        <f>IF(ISERR(ROUND(AVERAGE(#REF!),3)),"",ROUND(AVERAGE(#REF!),3))</f>
        <v/>
      </c>
      <c r="I146" s="53" t="str">
        <f>IF(ISERR(ROUND(AVERAGE(#REF!),3)),"",ROUND(AVERAGE(#REF!),3))</f>
        <v/>
      </c>
      <c r="J146" s="53" t="str">
        <f>IF(ISERR(ROUND(AVERAGE(#REF!),3)),"",ROUND(AVERAGE(#REF!),3))</f>
        <v/>
      </c>
      <c r="K146" s="53" t="str">
        <f>IF(ISERR(ROUND(AVERAGE(#REF!),3)),"",ROUND(AVERAGE(#REF!),3))</f>
        <v/>
      </c>
      <c r="L146" s="53" t="str">
        <f>IF(ISERR(ROUND(AVERAGE(#REF!),3)),"",ROUND(AVERAGE(#REF!),3))</f>
        <v/>
      </c>
      <c r="M146" s="53" t="str">
        <f>IF(ISERR(ROUND(AVERAGE(#REF!),3)),"",ROUND(AVERAGE(#REF!),3))</f>
        <v/>
      </c>
      <c r="N146" s="53"/>
      <c r="O146" s="53"/>
    </row>
    <row r="147" spans="1:15">
      <c r="A147" s="59" t="s">
        <v>26</v>
      </c>
      <c r="B147" s="314">
        <f>+'Exercise 12 - DCC Pd Pd LDFs'!B50</f>
        <v>1.4079999999999999</v>
      </c>
      <c r="C147" s="314">
        <f>+'Exercise 12 - DCC Pd Pd LDFs'!C50</f>
        <v>2.3780000000000001</v>
      </c>
      <c r="D147" s="314">
        <f>+'Exercise 12 - DCC Pd Pd LDFs'!D50</f>
        <v>1.571</v>
      </c>
      <c r="E147" s="295">
        <f>ROUND(AVERAGE(E136:E140),3)</f>
        <v>1.0049999999999999</v>
      </c>
      <c r="F147" s="295">
        <f>ROUND(AVERAGE(F135:F139),3)</f>
        <v>0.95199999999999996</v>
      </c>
      <c r="G147" s="295">
        <f>ROUND(AVERAGE(G134:G138),3)</f>
        <v>0.97699999999999998</v>
      </c>
      <c r="H147" s="53" t="str">
        <f>IF(ISERR(ROUND(AVERAGE(#REF!),3)),"",ROUND(AVERAGE(#REF!),3))</f>
        <v/>
      </c>
      <c r="I147" s="53" t="str">
        <f>IF(ISERR(ROUND(AVERAGE(#REF!),3)),"",ROUND(AVERAGE(#REF!),3))</f>
        <v/>
      </c>
      <c r="J147" s="53" t="str">
        <f>IF(ISERR(ROUND(AVERAGE(#REF!),3)),"",ROUND(AVERAGE(#REF!),3))</f>
        <v/>
      </c>
      <c r="K147" s="53" t="str">
        <f>IF(ISERR(ROUND(AVERAGE(#REF!),3)),"",ROUND(AVERAGE(#REF!),3))</f>
        <v/>
      </c>
      <c r="L147" s="53" t="str">
        <f>IF(ISERR(ROUND(AVERAGE(#REF!),3)),"",ROUND(AVERAGE(#REF!),3))</f>
        <v/>
      </c>
      <c r="M147" s="53"/>
      <c r="N147" s="53"/>
      <c r="O147" s="53"/>
    </row>
    <row r="148" spans="1:15">
      <c r="A148" s="59" t="s">
        <v>27</v>
      </c>
      <c r="B148" s="314">
        <f>+'Exercise 12 - DCC Pd Pd LDFs'!B51</f>
        <v>1.423</v>
      </c>
      <c r="C148" s="314">
        <f>+'Exercise 12 - DCC Pd Pd LDFs'!C51</f>
        <v>2.375</v>
      </c>
      <c r="D148" s="314">
        <f>+'Exercise 12 - DCC Pd Pd LDFs'!D51</f>
        <v>1.544</v>
      </c>
      <c r="E148" s="295">
        <f>ROUND((SUM(E136:E140)-MAX(E136:E140)-MIN(E136:E140))/3,3)</f>
        <v>1.0269999999999999</v>
      </c>
      <c r="F148" s="295">
        <f>ROUND((SUM(F135:F139)-MAX(F135:F139)-MIN(F135:F139))/3,3)</f>
        <v>0.95399999999999996</v>
      </c>
      <c r="G148" s="295">
        <f>ROUND((SUM(G134:G138)-MAX(G134:G138)-MIN(G134:G138))/3,3)</f>
        <v>0.98</v>
      </c>
      <c r="H148" s="53"/>
      <c r="I148" s="53"/>
      <c r="J148" s="53"/>
      <c r="K148" s="53"/>
      <c r="L148" s="53"/>
      <c r="M148" s="53"/>
      <c r="N148" s="53"/>
      <c r="O148" s="53"/>
    </row>
    <row r="149" spans="1:15">
      <c r="A149" s="60" t="s">
        <v>28</v>
      </c>
      <c r="B149" s="314">
        <f>+'Exercise 12 - DCC Pd Pd LDFs'!B52</f>
        <v>1.6060000000000001</v>
      </c>
      <c r="C149" s="314">
        <f>+'Exercise 12 - DCC Pd Pd LDFs'!C52</f>
        <v>2.1880000000000002</v>
      </c>
      <c r="D149" s="314">
        <f>+'Exercise 12 - DCC Pd Pd LDFs'!D52</f>
        <v>1.5129999999999999</v>
      </c>
      <c r="E149" s="295">
        <f>AVERAGE(E$130:E141)</f>
        <v>1.0143636363636361</v>
      </c>
      <c r="F149" s="295">
        <f>AVERAGE(F$130:F140)</f>
        <v>0.95629999999999993</v>
      </c>
      <c r="G149" s="295">
        <f>AVERAGE(G$130:G139)</f>
        <v>0.9865555555555553</v>
      </c>
      <c r="H149" s="53" t="str">
        <f>IF(ISERR(AVERAGE(#REF!)),"",AVERAGE(#REF!))</f>
        <v/>
      </c>
      <c r="I149" s="53" t="str">
        <f>IF(ISERR(AVERAGE(#REF!)),"",AVERAGE(#REF!))</f>
        <v/>
      </c>
      <c r="J149" s="53" t="str">
        <f>IF(ISERR(AVERAGE(#REF!)),"",AVERAGE(#REF!))</f>
        <v/>
      </c>
      <c r="K149" s="53" t="str">
        <f>IF(ISERR(AVERAGE(#REF!)),"",AVERAGE(#REF!))</f>
        <v/>
      </c>
      <c r="L149" s="53" t="str">
        <f>IF(ISERR(AVERAGE(#REF!)),"",AVERAGE(#REF!))</f>
        <v/>
      </c>
      <c r="M149" s="53" t="str">
        <f>IF(ISERR(AVERAGE(#REF!)),"",AVERAGE(#REF!))</f>
        <v/>
      </c>
      <c r="N149" s="53" t="str">
        <f>IF(ISERR(AVERAGE(#REF!)),"",AVERAGE(#REF!))</f>
        <v/>
      </c>
      <c r="O149" s="53" t="str">
        <f>IF(ISERR(AVERAGE(#REF!)),"",AVERAGE(#REF!))</f>
        <v/>
      </c>
    </row>
    <row r="150" spans="1:15">
      <c r="B150" s="315"/>
      <c r="C150" s="315"/>
      <c r="D150" s="315"/>
      <c r="E150" s="296"/>
      <c r="F150" s="296"/>
      <c r="G150" s="296"/>
      <c r="H150" s="45"/>
      <c r="I150" s="45"/>
      <c r="J150" s="45"/>
      <c r="K150" s="45"/>
      <c r="L150" s="45"/>
      <c r="M150" s="45"/>
      <c r="N150" s="45"/>
      <c r="O150" s="45"/>
    </row>
    <row r="151" spans="1:15">
      <c r="A151" s="59" t="s">
        <v>29</v>
      </c>
      <c r="B151" s="314">
        <f>+'Exercise 12 - DCC Pd Pd LDFs'!B54</f>
        <v>1.2210000000000001</v>
      </c>
      <c r="C151" s="314">
        <f>+'Exercise 12 - DCC Pd Pd LDFs'!C54</f>
        <v>2.0659999999999998</v>
      </c>
      <c r="D151" s="314">
        <f>+'Exercise 12 - DCC Pd Pd LDFs'!D54</f>
        <v>1.5129999999999999</v>
      </c>
      <c r="E151" s="295">
        <f>ROUND(SUM(F118:F120)/SUM(E118:E120),3)</f>
        <v>0.88</v>
      </c>
      <c r="F151" s="295">
        <f>ROUND(SUM(G117:G119)/SUM(F117:F119),3)</f>
        <v>0.95899999999999996</v>
      </c>
      <c r="G151" s="295">
        <f>ROUND(SUM(H116:H118)/SUM(G116:G118),3)</f>
        <v>0.96899999999999997</v>
      </c>
      <c r="H151" s="53" t="str">
        <f>IF(ISERR(ROUND(SUM(#REF!)/SUM(#REF!),3)),"",ROUND(SUM(#REF!)/SUM(#REF!),3))</f>
        <v/>
      </c>
      <c r="I151" s="53" t="str">
        <f>IF(ISERR(ROUND(SUM(#REF!)/SUM(#REF!),3)),"",ROUND(SUM(#REF!)/SUM(#REF!),3))</f>
        <v/>
      </c>
      <c r="J151" s="53" t="str">
        <f>IF(ISERR(ROUND(SUM(#REF!)/SUM(#REF!),3)),"",ROUND(SUM(#REF!)/SUM(#REF!),3))</f>
        <v/>
      </c>
      <c r="K151" s="53" t="str">
        <f>IF(ISERR(ROUND(SUM(#REF!)/SUM(#REF!),3)),"",ROUND(SUM(#REF!)/SUM(#REF!),3))</f>
        <v/>
      </c>
      <c r="L151" s="53" t="str">
        <f>IF(ISERR(ROUND(SUM(#REF!)/SUM(#REF!),3)),"",ROUND(SUM(#REF!)/SUM(#REF!),3))</f>
        <v/>
      </c>
      <c r="M151" s="53" t="str">
        <f>IF(ISERR(ROUND(SUM(#REF!)/SUM(#REF!),3)),"",ROUND(SUM(#REF!)/SUM(#REF!),3))</f>
        <v/>
      </c>
      <c r="N151" s="53"/>
      <c r="O151" s="53"/>
    </row>
    <row r="152" spans="1:15">
      <c r="A152" s="59" t="s">
        <v>30</v>
      </c>
      <c r="B152" s="314">
        <f>+'Exercise 12 - DCC Pd Pd LDFs'!B55</f>
        <v>1.2010000000000001</v>
      </c>
      <c r="C152" s="314">
        <f>+'Exercise 12 - DCC Pd Pd LDFs'!C55</f>
        <v>2.149</v>
      </c>
      <c r="D152" s="314">
        <f>+'Exercise 12 - DCC Pd Pd LDFs'!D55</f>
        <v>1.51</v>
      </c>
      <c r="E152" s="295">
        <f>ROUND(SUM(F116:F120)/SUM(E116:E120),3)</f>
        <v>1.05</v>
      </c>
      <c r="F152" s="295">
        <f>ROUND(SUM(G115:G119)/SUM(F115:F119),3)</f>
        <v>0.95599999999999996</v>
      </c>
      <c r="G152" s="295">
        <f>ROUND(SUM(H114:H118)/SUM(G114:G118),3)</f>
        <v>0.97399999999999998</v>
      </c>
      <c r="H152" s="53" t="str">
        <f>IF(ISERR(ROUND(SUM(#REF!)/SUM(#REF!),3)),"",ROUND(SUM(#REF!)/SUM(#REF!),3))</f>
        <v/>
      </c>
      <c r="I152" s="53" t="str">
        <f>IF(ISERR(ROUND(SUM(#REF!)/SUM(#REF!),3)),"",ROUND(SUM(#REF!)/SUM(#REF!),3))</f>
        <v/>
      </c>
      <c r="J152" s="53" t="str">
        <f>IF(ISERR(ROUND(SUM(#REF!)/SUM(#REF!),3)),"",ROUND(SUM(#REF!)/SUM(#REF!),3))</f>
        <v/>
      </c>
      <c r="K152" s="53" t="str">
        <f>IF(ISERR(ROUND(SUM(#REF!)/SUM(#REF!),3)),"",ROUND(SUM(#REF!)/SUM(#REF!),3))</f>
        <v/>
      </c>
      <c r="L152" s="53"/>
      <c r="M152" s="53"/>
      <c r="N152" s="53"/>
      <c r="O152" s="53"/>
    </row>
    <row r="153" spans="1:15">
      <c r="A153" s="60" t="s">
        <v>28</v>
      </c>
      <c r="B153" s="314">
        <f>+'Exercise 12 - DCC Pd Pd LDFs'!B56</f>
        <v>1.5029999999999999</v>
      </c>
      <c r="C153" s="314">
        <f>+'Exercise 12 - DCC Pd Pd LDFs'!C56</f>
        <v>1.974</v>
      </c>
      <c r="D153" s="314">
        <f>+'Exercise 12 - DCC Pd Pd LDFs'!D56</f>
        <v>1.4410000000000001</v>
      </c>
      <c r="E153" s="295">
        <f>SUM(F$110:F120)/SUM(E$110:E120)</f>
        <v>1.0191090075883344</v>
      </c>
      <c r="F153" s="295">
        <f>SUM(G$110:G119)/SUM(F$110:F119)</f>
        <v>0.95431657827274363</v>
      </c>
      <c r="G153" s="295">
        <f>SUM(H$110:H118)/SUM(G$110:G118)</f>
        <v>0.98097897713194016</v>
      </c>
      <c r="H153" s="53"/>
      <c r="I153" s="53"/>
      <c r="J153" s="53"/>
      <c r="K153" s="53"/>
      <c r="L153" s="53"/>
      <c r="M153" s="53"/>
      <c r="N153" s="53"/>
      <c r="O153" s="53"/>
    </row>
  </sheetData>
  <conditionalFormatting sqref="O44:P44 B44 D44:F44">
    <cfRule type="cellIs" dxfId="9" priority="4" stopIfTrue="1" operator="notEqual">
      <formula>R44</formula>
    </cfRule>
  </conditionalFormatting>
  <conditionalFormatting sqref="B46:D49 B51:D53">
    <cfRule type="cellIs" dxfId="8" priority="3" stopIfTrue="1" operator="notEqual">
      <formula>B146</formula>
    </cfRule>
  </conditionalFormatting>
  <conditionalFormatting sqref="O144:P144 B144:F144">
    <cfRule type="cellIs" dxfId="7" priority="2" stopIfTrue="1" operator="notEqual">
      <formula>R144</formula>
    </cfRule>
  </conditionalFormatting>
  <conditionalFormatting sqref="B43:G43 B42:H42 P36:P43 B10:P24 B30:C41 D30:P35 D36:N36 D37:M37 D38:L38 D39:K39 D40:J40 D41:I41">
    <cfRule type="cellIs" dxfId="6" priority="1" stopIfTrue="1" operator="notEqual">
      <formula>B110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F122"/>
  <sheetViews>
    <sheetView workbookViewId="0"/>
  </sheetViews>
  <sheetFormatPr defaultColWidth="10" defaultRowHeight="15"/>
  <cols>
    <col min="1" max="1" width="26.5703125" style="45" customWidth="1"/>
    <col min="2" max="16" width="13.5703125" style="37" customWidth="1"/>
    <col min="17" max="31" width="10" style="37"/>
    <col min="32" max="32" width="14" style="37" bestFit="1" customWidth="1"/>
    <col min="33" max="16384" width="10" style="37"/>
  </cols>
  <sheetData>
    <row r="1" spans="1:32" ht="15.75">
      <c r="A1" s="203" t="s">
        <v>0</v>
      </c>
      <c r="B1" s="64"/>
      <c r="C1" s="64"/>
      <c r="D1" s="64"/>
      <c r="E1" s="64"/>
      <c r="F1" s="64"/>
    </row>
    <row r="2" spans="1:32" ht="15.75">
      <c r="A2" s="204" t="str">
        <f>+"Analysis of Loss &amp; DCC Reserves as of "&amp;TEXT(EvalDate,"mm/dd/yyy")</f>
        <v>Analysis of Loss &amp; DCC Reserves as of 12/31/2016</v>
      </c>
      <c r="B2" s="64"/>
      <c r="C2" s="64"/>
      <c r="D2" s="64"/>
      <c r="E2" s="64"/>
      <c r="F2" s="64"/>
    </row>
    <row r="3" spans="1:32" ht="15.75">
      <c r="A3" s="205" t="str">
        <f>+LOB</f>
        <v>Liability</v>
      </c>
      <c r="B3" s="64"/>
    </row>
    <row r="4" spans="1:32">
      <c r="A4" s="38"/>
      <c r="E4" s="39"/>
    </row>
    <row r="5" spans="1:32" ht="15.75"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32">
      <c r="A6" s="38" t="s">
        <v>95</v>
      </c>
    </row>
    <row r="7" spans="1:32">
      <c r="A7" s="38"/>
    </row>
    <row r="8" spans="1:32">
      <c r="A8" s="38"/>
    </row>
    <row r="10" spans="1:32">
      <c r="A10" s="66" t="s">
        <v>3</v>
      </c>
      <c r="B10" s="41" t="s">
        <v>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</row>
    <row r="11" spans="1:32" s="45" customFormat="1">
      <c r="A11" s="43" t="s">
        <v>5</v>
      </c>
      <c r="B11" s="44">
        <v>12</v>
      </c>
      <c r="C11" s="44">
        <f t="shared" ref="C11:P11" si="0">B11+12</f>
        <v>24</v>
      </c>
      <c r="D11" s="44">
        <f t="shared" si="0"/>
        <v>36</v>
      </c>
      <c r="E11" s="44">
        <f t="shared" si="0"/>
        <v>48</v>
      </c>
      <c r="F11" s="44">
        <f t="shared" si="0"/>
        <v>60</v>
      </c>
      <c r="G11" s="44">
        <f t="shared" si="0"/>
        <v>72</v>
      </c>
      <c r="H11" s="44">
        <f t="shared" si="0"/>
        <v>84</v>
      </c>
      <c r="I11" s="44">
        <f t="shared" si="0"/>
        <v>96</v>
      </c>
      <c r="J11" s="44">
        <f t="shared" si="0"/>
        <v>108</v>
      </c>
      <c r="K11" s="44">
        <f t="shared" si="0"/>
        <v>120</v>
      </c>
      <c r="L11" s="44">
        <f t="shared" si="0"/>
        <v>132</v>
      </c>
      <c r="M11" s="44">
        <f t="shared" si="0"/>
        <v>144</v>
      </c>
      <c r="N11" s="44">
        <f t="shared" si="0"/>
        <v>156</v>
      </c>
      <c r="O11" s="44">
        <f t="shared" si="0"/>
        <v>168</v>
      </c>
      <c r="P11" s="44">
        <f t="shared" si="0"/>
        <v>180</v>
      </c>
      <c r="R11" s="45" t="s">
        <v>6</v>
      </c>
    </row>
    <row r="12" spans="1:32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</row>
    <row r="13" spans="1:32" ht="15.75">
      <c r="A13" s="49">
        <f t="shared" ref="A13:A25" si="1">+A14-1</f>
        <v>1998</v>
      </c>
      <c r="B13" s="320">
        <f>+'Exercise 6 DCC Paid LDFs'!B13/'Exercise 6 - Paid LDFs'!B10</f>
        <v>5.2970926785254516E-2</v>
      </c>
      <c r="C13" s="320">
        <f>+'Exercise 6 DCC Paid LDFs'!C13/'Exercise 6 - Paid LDFs'!C10</f>
        <v>7.209954497071068E-2</v>
      </c>
      <c r="D13" s="320">
        <f>+'Exercise 6 DCC Paid LDFs'!D13/'Exercise 6 - Paid LDFs'!D10</f>
        <v>0.14033944648615992</v>
      </c>
      <c r="E13" s="320">
        <f>+'Exercise 6 DCC Paid LDFs'!E13/'Exercise 6 - Paid LDFs'!E10</f>
        <v>0.20813569284607897</v>
      </c>
      <c r="F13" s="320">
        <f>+'Exercise 6 DCC Paid LDFs'!F13/'Exercise 6 - Paid LDFs'!F10</f>
        <v>0.21387060300658217</v>
      </c>
      <c r="G13" s="320">
        <f>+'Exercise 6 DCC Paid LDFs'!G13/'Exercise 6 - Paid LDFs'!G10</f>
        <v>0.20998394678853438</v>
      </c>
      <c r="H13" s="320">
        <f>+'Exercise 6 DCC Paid LDFs'!H13/'Exercise 6 - Paid LDFs'!H10</f>
        <v>0.20945803657074438</v>
      </c>
      <c r="I13" s="320">
        <f>+'Exercise 6 DCC Paid LDFs'!I13/'Exercise 6 - Paid LDFs'!I10</f>
        <v>0.2101803446409618</v>
      </c>
      <c r="J13" s="320">
        <f>+'Exercise 6 DCC Paid LDFs'!J13/'Exercise 6 - Paid LDFs'!J10</f>
        <v>0.20868590696981457</v>
      </c>
      <c r="K13" s="320">
        <f>+'Exercise 6 DCC Paid LDFs'!K13/'Exercise 6 - Paid LDFs'!K10</f>
        <v>0.20744391018373259</v>
      </c>
      <c r="L13" s="320">
        <f>+'Exercise 6 DCC Paid LDFs'!L13/'Exercise 6 - Paid LDFs'!L10</f>
        <v>0.1871956297696992</v>
      </c>
      <c r="M13" s="320">
        <f>+'Exercise 6 DCC Paid LDFs'!M13/'Exercise 6 - Paid LDFs'!M10</f>
        <v>0.17864193061346564</v>
      </c>
      <c r="N13" s="320">
        <f>+'Exercise 6 DCC Paid LDFs'!N13/'Exercise 6 - Paid LDFs'!N10</f>
        <v>0.17864193061346564</v>
      </c>
      <c r="O13" s="320">
        <f>+'Exercise 6 DCC Paid LDFs'!O13/'Exercise 6 - Paid LDFs'!O10</f>
        <v>0.17687319862719372</v>
      </c>
      <c r="P13" s="320">
        <f>+'Exercise 6 DCC Paid LDFs'!P13/'Exercise 6 - Paid LDFs'!P10</f>
        <v>0.17687319862719372</v>
      </c>
      <c r="Q13" s="48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</row>
    <row r="14" spans="1:32" ht="15.75">
      <c r="A14" s="49">
        <f t="shared" si="1"/>
        <v>1999</v>
      </c>
      <c r="B14" s="320">
        <f>+'Exercise 6 DCC Paid LDFs'!B14/'Exercise 6 - Paid LDFs'!B11</f>
        <v>6.5421810007082318E-2</v>
      </c>
      <c r="C14" s="320">
        <f>+'Exercise 6 DCC Paid LDFs'!C14/'Exercise 6 - Paid LDFs'!C11</f>
        <v>7.5265394024557453E-2</v>
      </c>
      <c r="D14" s="320">
        <f>+'Exercise 6 DCC Paid LDFs'!D14/'Exercise 6 - Paid LDFs'!D11</f>
        <v>0.12676855587508831</v>
      </c>
      <c r="E14" s="320">
        <f>+'Exercise 6 DCC Paid LDFs'!E14/'Exercise 6 - Paid LDFs'!E11</f>
        <v>0.25864788787685772</v>
      </c>
      <c r="F14" s="320">
        <f>+'Exercise 6 DCC Paid LDFs'!F14/'Exercise 6 - Paid LDFs'!F11</f>
        <v>0.28218094814342898</v>
      </c>
      <c r="G14" s="320">
        <f>+'Exercise 6 DCC Paid LDFs'!G14/'Exercise 6 - Paid LDFs'!G11</f>
        <v>0.28291339239362301</v>
      </c>
      <c r="H14" s="320">
        <f>+'Exercise 6 DCC Paid LDFs'!H14/'Exercise 6 - Paid LDFs'!H11</f>
        <v>0.29000954206156299</v>
      </c>
      <c r="I14" s="320">
        <f>+'Exercise 6 DCC Paid LDFs'!I14/'Exercise 6 - Paid LDFs'!I11</f>
        <v>0.29235851049931799</v>
      </c>
      <c r="J14" s="320">
        <f>+'Exercise 6 DCC Paid LDFs'!J14/'Exercise 6 - Paid LDFs'!J11</f>
        <v>0.29473178613215145</v>
      </c>
      <c r="K14" s="320">
        <f>+'Exercise 6 DCC Paid LDFs'!K14/'Exercise 6 - Paid LDFs'!K11</f>
        <v>0.29781204867242628</v>
      </c>
      <c r="L14" s="320">
        <f>+'Exercise 6 DCC Paid LDFs'!L14/'Exercise 6 - Paid LDFs'!L11</f>
        <v>0.29768347453003557</v>
      </c>
      <c r="M14" s="320">
        <f>+'Exercise 6 DCC Paid LDFs'!M14/'Exercise 6 - Paid LDFs'!M11</f>
        <v>0.29298363345879941</v>
      </c>
      <c r="N14" s="320">
        <f>+'Exercise 6 DCC Paid LDFs'!N14/'Exercise 6 - Paid LDFs'!N11</f>
        <v>0.2596901157577115</v>
      </c>
      <c r="O14" s="320">
        <f>+'Exercise 6 DCC Paid LDFs'!O14/'Exercise 6 - Paid LDFs'!O11</f>
        <v>0.26243420700778619</v>
      </c>
      <c r="P14" s="129"/>
      <c r="Q14" s="48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 t="s">
        <v>7</v>
      </c>
    </row>
    <row r="15" spans="1:32" ht="15.75">
      <c r="A15" s="49">
        <f t="shared" si="1"/>
        <v>2000</v>
      </c>
      <c r="B15" s="320">
        <f>+'Exercise 6 DCC Paid LDFs'!B15/'Exercise 6 - Paid LDFs'!B12</f>
        <v>8.0574164694523165E-2</v>
      </c>
      <c r="C15" s="320">
        <f>+'Exercise 6 DCC Paid LDFs'!C15/'Exercise 6 - Paid LDFs'!C12</f>
        <v>7.3327220272851559E-2</v>
      </c>
      <c r="D15" s="320">
        <f>+'Exercise 6 DCC Paid LDFs'!D15/'Exercise 6 - Paid LDFs'!D12</f>
        <v>0.13195407385831845</v>
      </c>
      <c r="E15" s="320">
        <f>+'Exercise 6 DCC Paid LDFs'!E15/'Exercise 6 - Paid LDFs'!E12</f>
        <v>0.19370730813041359</v>
      </c>
      <c r="F15" s="320">
        <f>+'Exercise 6 DCC Paid LDFs'!F15/'Exercise 6 - Paid LDFs'!F12</f>
        <v>0.20390407643292266</v>
      </c>
      <c r="G15" s="320">
        <f>+'Exercise 6 DCC Paid LDFs'!G15/'Exercise 6 - Paid LDFs'!G12</f>
        <v>0.20902877494104988</v>
      </c>
      <c r="H15" s="320">
        <f>+'Exercise 6 DCC Paid LDFs'!H15/'Exercise 6 - Paid LDFs'!H12</f>
        <v>0.21299644947048582</v>
      </c>
      <c r="I15" s="320">
        <f>+'Exercise 6 DCC Paid LDFs'!I15/'Exercise 6 - Paid LDFs'!I12</f>
        <v>0.21723676502083905</v>
      </c>
      <c r="J15" s="320">
        <f>+'Exercise 6 DCC Paid LDFs'!J15/'Exercise 6 - Paid LDFs'!J12</f>
        <v>0.21984360620108911</v>
      </c>
      <c r="K15" s="320">
        <f>+'Exercise 6 DCC Paid LDFs'!K15/'Exercise 6 - Paid LDFs'!K12</f>
        <v>0.22181319035757424</v>
      </c>
      <c r="L15" s="320">
        <f>+'Exercise 6 DCC Paid LDFs'!L15/'Exercise 6 - Paid LDFs'!L12</f>
        <v>0.2190069268349194</v>
      </c>
      <c r="M15" s="320">
        <f>+'Exercise 6 DCC Paid LDFs'!M15/'Exercise 6 - Paid LDFs'!M12</f>
        <v>0.18988725666539008</v>
      </c>
      <c r="N15" s="320">
        <f>+'Exercise 6 DCC Paid LDFs'!N15/'Exercise 6 - Paid LDFs'!N12</f>
        <v>0.18976802184824523</v>
      </c>
      <c r="O15" s="129"/>
      <c r="P15" s="129"/>
      <c r="Q15" s="48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 t="s">
        <v>7</v>
      </c>
    </row>
    <row r="16" spans="1:32" ht="15.75">
      <c r="A16" s="49">
        <f t="shared" si="1"/>
        <v>2001</v>
      </c>
      <c r="B16" s="320">
        <f>+'Exercise 6 DCC Paid LDFs'!B16/'Exercise 6 - Paid LDFs'!B13</f>
        <v>6.8544156347068411E-2</v>
      </c>
      <c r="C16" s="320">
        <f>+'Exercise 6 DCC Paid LDFs'!C16/'Exercise 6 - Paid LDFs'!C13</f>
        <v>9.3765511437618784E-2</v>
      </c>
      <c r="D16" s="320">
        <f>+'Exercise 6 DCC Paid LDFs'!D16/'Exercise 6 - Paid LDFs'!D13</f>
        <v>0.26903375577458111</v>
      </c>
      <c r="E16" s="320">
        <f>+'Exercise 6 DCC Paid LDFs'!E16/'Exercise 6 - Paid LDFs'!E13</f>
        <v>0.38547635532597596</v>
      </c>
      <c r="F16" s="320">
        <f>+'Exercise 6 DCC Paid LDFs'!F16/'Exercise 6 - Paid LDFs'!F13</f>
        <v>0.35465524352801653</v>
      </c>
      <c r="G16" s="320">
        <f>+'Exercise 6 DCC Paid LDFs'!G16/'Exercise 6 - Paid LDFs'!G13</f>
        <v>0.32261335626559057</v>
      </c>
      <c r="H16" s="320">
        <f>+'Exercise 6 DCC Paid LDFs'!H16/'Exercise 6 - Paid LDFs'!H13</f>
        <v>0.30754474688494721</v>
      </c>
      <c r="I16" s="320">
        <f>+'Exercise 6 DCC Paid LDFs'!I16/'Exercise 6 - Paid LDFs'!I13</f>
        <v>0.30440476835819158</v>
      </c>
      <c r="J16" s="320">
        <f>+'Exercise 6 DCC Paid LDFs'!J16/'Exercise 6 - Paid LDFs'!J13</f>
        <v>0.29328498169568834</v>
      </c>
      <c r="K16" s="320">
        <f>+'Exercise 6 DCC Paid LDFs'!K16/'Exercise 6 - Paid LDFs'!K13</f>
        <v>0.28157164859689632</v>
      </c>
      <c r="L16" s="320">
        <f>+'Exercise 6 DCC Paid LDFs'!L16/'Exercise 6 - Paid LDFs'!L13</f>
        <v>0.21418733899944561</v>
      </c>
      <c r="M16" s="320">
        <f>+'Exercise 6 DCC Paid LDFs'!M16/'Exercise 6 - Paid LDFs'!M13</f>
        <v>0.21874243009343428</v>
      </c>
      <c r="N16" s="129"/>
      <c r="O16" s="129"/>
      <c r="P16" s="129"/>
      <c r="Q16" s="48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 t="s">
        <v>7</v>
      </c>
    </row>
    <row r="17" spans="1:32" ht="15.75">
      <c r="A17" s="49">
        <f t="shared" si="1"/>
        <v>2002</v>
      </c>
      <c r="B17" s="320">
        <f>+'Exercise 6 DCC Paid LDFs'!B17/'Exercise 6 - Paid LDFs'!B14</f>
        <v>6.262905822461351E-2</v>
      </c>
      <c r="C17" s="320">
        <f>+'Exercise 6 DCC Paid LDFs'!C17/'Exercise 6 - Paid LDFs'!C14</f>
        <v>0.14649980794754236</v>
      </c>
      <c r="D17" s="320">
        <f>+'Exercise 6 DCC Paid LDFs'!D17/'Exercise 6 - Paid LDFs'!D14</f>
        <v>0.20283831592345644</v>
      </c>
      <c r="E17" s="320">
        <f>+'Exercise 6 DCC Paid LDFs'!E17/'Exercise 6 - Paid LDFs'!E14</f>
        <v>0.26245691568000312</v>
      </c>
      <c r="F17" s="320">
        <f>+'Exercise 6 DCC Paid LDFs'!F17/'Exercise 6 - Paid LDFs'!F14</f>
        <v>0.30780199820448428</v>
      </c>
      <c r="G17" s="320">
        <f>+'Exercise 6 DCC Paid LDFs'!G17/'Exercise 6 - Paid LDFs'!G14</f>
        <v>0.27243863043465311</v>
      </c>
      <c r="H17" s="320">
        <f>+'Exercise 6 DCC Paid LDFs'!H17/'Exercise 6 - Paid LDFs'!H14</f>
        <v>0.26458737321785986</v>
      </c>
      <c r="I17" s="320">
        <f>+'Exercise 6 DCC Paid LDFs'!I17/'Exercise 6 - Paid LDFs'!I14</f>
        <v>0.2611905106628194</v>
      </c>
      <c r="J17" s="320">
        <f>+'Exercise 6 DCC Paid LDFs'!J17/'Exercise 6 - Paid LDFs'!J14</f>
        <v>0.24670714693312373</v>
      </c>
      <c r="K17" s="320">
        <f>+'Exercise 6 DCC Paid LDFs'!K17/'Exercise 6 - Paid LDFs'!K14</f>
        <v>0.24273021401532774</v>
      </c>
      <c r="L17" s="320">
        <f>+'Exercise 6 DCC Paid LDFs'!L17/'Exercise 6 - Paid LDFs'!L14</f>
        <v>0.22025091774508193</v>
      </c>
      <c r="M17" s="129"/>
      <c r="N17" s="129"/>
      <c r="O17" s="129"/>
      <c r="P17" s="129"/>
      <c r="Q17" s="48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 t="s">
        <v>7</v>
      </c>
    </row>
    <row r="18" spans="1:32" ht="15.75">
      <c r="A18" s="49">
        <f t="shared" si="1"/>
        <v>2003</v>
      </c>
      <c r="B18" s="320">
        <f>+'Exercise 6 DCC Paid LDFs'!B18/'Exercise 6 - Paid LDFs'!B15</f>
        <v>0.10295015174021616</v>
      </c>
      <c r="C18" s="320">
        <f>+'Exercise 6 DCC Paid LDFs'!C18/'Exercise 6 - Paid LDFs'!C15</f>
        <v>0.27315349160266661</v>
      </c>
      <c r="D18" s="320">
        <f>+'Exercise 6 DCC Paid LDFs'!D18/'Exercise 6 - Paid LDFs'!D15</f>
        <v>0.44453502692057811</v>
      </c>
      <c r="E18" s="320">
        <f>+'Exercise 6 DCC Paid LDFs'!E18/'Exercise 6 - Paid LDFs'!E15</f>
        <v>0.57284661114998658</v>
      </c>
      <c r="F18" s="320">
        <f>+'Exercise 6 DCC Paid LDFs'!F18/'Exercise 6 - Paid LDFs'!F15</f>
        <v>0.49679822599036688</v>
      </c>
      <c r="G18" s="320">
        <f>+'Exercise 6 DCC Paid LDFs'!G18/'Exercise 6 - Paid LDFs'!G15</f>
        <v>0.46581303454461587</v>
      </c>
      <c r="H18" s="320">
        <f>+'Exercise 6 DCC Paid LDFs'!H18/'Exercise 6 - Paid LDFs'!H15</f>
        <v>0.46309159928938393</v>
      </c>
      <c r="I18" s="320">
        <f>+'Exercise 6 DCC Paid LDFs'!I18/'Exercise 6 - Paid LDFs'!I15</f>
        <v>0.42287445612263358</v>
      </c>
      <c r="J18" s="320">
        <f>+'Exercise 6 DCC Paid LDFs'!J18/'Exercise 6 - Paid LDFs'!J15</f>
        <v>0.37234336955500918</v>
      </c>
      <c r="K18" s="320">
        <f>+'Exercise 6 DCC Paid LDFs'!K18/'Exercise 6 - Paid LDFs'!K15</f>
        <v>0.38312201040520227</v>
      </c>
      <c r="L18" s="129"/>
      <c r="M18" s="129"/>
      <c r="N18" s="129"/>
      <c r="O18" s="129"/>
      <c r="P18" s="129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 t="s">
        <v>7</v>
      </c>
    </row>
    <row r="19" spans="1:32" ht="15.75">
      <c r="A19" s="49">
        <f t="shared" si="1"/>
        <v>2004</v>
      </c>
      <c r="B19" s="320">
        <f>+'Exercise 6 DCC Paid LDFs'!B19/'Exercise 6 - Paid LDFs'!B16</f>
        <v>0.13555075365686861</v>
      </c>
      <c r="C19" s="320">
        <f>+'Exercise 6 DCC Paid LDFs'!C19/'Exercise 6 - Paid LDFs'!C16</f>
        <v>0.24766294742526179</v>
      </c>
      <c r="D19" s="320">
        <f>+'Exercise 6 DCC Paid LDFs'!D19/'Exercise 6 - Paid LDFs'!D16</f>
        <v>0.43028635909013691</v>
      </c>
      <c r="E19" s="320">
        <f>+'Exercise 6 DCC Paid LDFs'!E19/'Exercise 6 - Paid LDFs'!E16</f>
        <v>0.55553335136347815</v>
      </c>
      <c r="F19" s="320">
        <f>+'Exercise 6 DCC Paid LDFs'!F19/'Exercise 6 - Paid LDFs'!F16</f>
        <v>0.72035276317141061</v>
      </c>
      <c r="G19" s="320">
        <f>+'Exercise 6 DCC Paid LDFs'!G19/'Exercise 6 - Paid LDFs'!G16</f>
        <v>0.69420390841103341</v>
      </c>
      <c r="H19" s="320">
        <f>+'Exercise 6 DCC Paid LDFs'!H19/'Exercise 6 - Paid LDFs'!H16</f>
        <v>0.66049022268668089</v>
      </c>
      <c r="I19" s="320">
        <f>+'Exercise 6 DCC Paid LDFs'!I19/'Exercise 6 - Paid LDFs'!I16</f>
        <v>0.56627618816412162</v>
      </c>
      <c r="J19" s="320">
        <f>+'Exercise 6 DCC Paid LDFs'!J19/'Exercise 6 - Paid LDFs'!J16</f>
        <v>0.55403284670948127</v>
      </c>
      <c r="K19" s="129"/>
      <c r="L19" s="129"/>
      <c r="M19" s="129"/>
      <c r="N19" s="129"/>
      <c r="O19" s="129"/>
      <c r="P19" s="129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 t="s">
        <v>7</v>
      </c>
    </row>
    <row r="20" spans="1:32" ht="15.75">
      <c r="A20" s="49">
        <f t="shared" si="1"/>
        <v>2005</v>
      </c>
      <c r="B20" s="320">
        <f>+'Exercise 6 DCC Paid LDFs'!B20/'Exercise 6 - Paid LDFs'!B17</f>
        <v>2.7837519824695862E-2</v>
      </c>
      <c r="C20" s="320">
        <f>+'Exercise 6 DCC Paid LDFs'!C20/'Exercise 6 - Paid LDFs'!C17</f>
        <v>5.7112259364528163E-2</v>
      </c>
      <c r="D20" s="320">
        <f>+'Exercise 6 DCC Paid LDFs'!D20/'Exercise 6 - Paid LDFs'!D17</f>
        <v>0.20042852806278991</v>
      </c>
      <c r="E20" s="320">
        <f>+'Exercise 6 DCC Paid LDFs'!E20/'Exercise 6 - Paid LDFs'!E17</f>
        <v>0.44810055600845639</v>
      </c>
      <c r="F20" s="320">
        <f>+'Exercise 6 DCC Paid LDFs'!F20/'Exercise 6 - Paid LDFs'!F17</f>
        <v>0.48293975884583612</v>
      </c>
      <c r="G20" s="320">
        <f>+'Exercise 6 DCC Paid LDFs'!G20/'Exercise 6 - Paid LDFs'!G17</f>
        <v>0.46390495759129369</v>
      </c>
      <c r="H20" s="320">
        <f>+'Exercise 6 DCC Paid LDFs'!H20/'Exercise 6 - Paid LDFs'!H17</f>
        <v>0.45381419166327591</v>
      </c>
      <c r="I20" s="320">
        <f>+'Exercise 6 DCC Paid LDFs'!I20/'Exercise 6 - Paid LDFs'!I17</f>
        <v>0.45719068155080067</v>
      </c>
      <c r="J20" s="129"/>
      <c r="K20" s="129"/>
      <c r="L20" s="129"/>
      <c r="M20" s="129"/>
      <c r="N20" s="129"/>
      <c r="O20" s="129"/>
      <c r="P20" s="129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 t="s">
        <v>7</v>
      </c>
    </row>
    <row r="21" spans="1:32" ht="15.75">
      <c r="A21" s="49">
        <f t="shared" si="1"/>
        <v>2006</v>
      </c>
      <c r="B21" s="320">
        <f>+'Exercise 6 DCC Paid LDFs'!B21/'Exercise 6 - Paid LDFs'!B18</f>
        <v>7.5533848365721856E-2</v>
      </c>
      <c r="C21" s="320">
        <f>+'Exercise 6 DCC Paid LDFs'!C21/'Exercise 6 - Paid LDFs'!C18</f>
        <v>0.13518023454457898</v>
      </c>
      <c r="D21" s="320">
        <f>+'Exercise 6 DCC Paid LDFs'!D21/'Exercise 6 - Paid LDFs'!D18</f>
        <v>0.2824984466179345</v>
      </c>
      <c r="E21" s="320">
        <f>+'Exercise 6 DCC Paid LDFs'!E21/'Exercise 6 - Paid LDFs'!E18</f>
        <v>0.27888498475221934</v>
      </c>
      <c r="F21" s="320">
        <f>+'Exercise 6 DCC Paid LDFs'!F21/'Exercise 6 - Paid LDFs'!F18</f>
        <v>0.34448586344273024</v>
      </c>
      <c r="G21" s="320">
        <f>+'Exercise 6 DCC Paid LDFs'!G21/'Exercise 6 - Paid LDFs'!G18</f>
        <v>0.33704373011144395</v>
      </c>
      <c r="H21" s="320">
        <f>+'Exercise 6 DCC Paid LDFs'!H21/'Exercise 6 - Paid LDFs'!H18</f>
        <v>0.33398214741752885</v>
      </c>
      <c r="I21" s="129"/>
      <c r="J21" s="129"/>
      <c r="K21" s="129"/>
      <c r="L21" s="129"/>
      <c r="M21" s="129"/>
      <c r="N21" s="129"/>
      <c r="O21" s="129"/>
      <c r="P21" s="129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 t="s">
        <v>7</v>
      </c>
    </row>
    <row r="22" spans="1:32" ht="15.75">
      <c r="A22" s="49">
        <f t="shared" si="1"/>
        <v>2007</v>
      </c>
      <c r="B22" s="320">
        <f>+'Exercise 6 DCC Paid LDFs'!B22/'Exercise 6 - Paid LDFs'!B19</f>
        <v>0.11007682563135797</v>
      </c>
      <c r="C22" s="320">
        <f>+'Exercise 6 DCC Paid LDFs'!C22/'Exercise 6 - Paid LDFs'!C19</f>
        <v>0.10097011471826625</v>
      </c>
      <c r="D22" s="320">
        <f>+'Exercise 6 DCC Paid LDFs'!D22/'Exercise 6 - Paid LDFs'!D19</f>
        <v>0.25499782974537721</v>
      </c>
      <c r="E22" s="320">
        <f>+'Exercise 6 DCC Paid LDFs'!E22/'Exercise 6 - Paid LDFs'!E19</f>
        <v>0.26913524839768044</v>
      </c>
      <c r="F22" s="320">
        <f>+'Exercise 6 DCC Paid LDFs'!F22/'Exercise 6 - Paid LDFs'!F19</f>
        <v>0.17455895387436768</v>
      </c>
      <c r="G22" s="320">
        <f>+'Exercise 6 DCC Paid LDFs'!G22/'Exercise 6 - Paid LDFs'!G19</f>
        <v>0.15998731558204765</v>
      </c>
      <c r="H22" s="129"/>
      <c r="I22" s="129"/>
      <c r="J22" s="129"/>
      <c r="K22" s="129"/>
      <c r="L22" s="129"/>
      <c r="M22" s="129"/>
      <c r="N22" s="129"/>
      <c r="O22" s="129"/>
      <c r="P22" s="129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 t="s">
        <v>7</v>
      </c>
    </row>
    <row r="23" spans="1:32" ht="15.75">
      <c r="A23" s="49">
        <f t="shared" si="1"/>
        <v>2008</v>
      </c>
      <c r="B23" s="320">
        <f>+'Exercise 6 DCC Paid LDFs'!B23/'Exercise 6 - Paid LDFs'!B20</f>
        <v>3.2827254319748506E-2</v>
      </c>
      <c r="C23" s="320">
        <f>+'Exercise 6 DCC Paid LDFs'!C23/'Exercise 6 - Paid LDFs'!C20</f>
        <v>6.2692510067892684E-2</v>
      </c>
      <c r="D23" s="320">
        <f>+'Exercise 6 DCC Paid LDFs'!D23/'Exercise 6 - Paid LDFs'!D20</f>
        <v>0.20110878937033727</v>
      </c>
      <c r="E23" s="320">
        <f>+'Exercise 6 DCC Paid LDFs'!E23/'Exercise 6 - Paid LDFs'!E20</f>
        <v>0.32948092506653498</v>
      </c>
      <c r="F23" s="320">
        <f>+'Exercise 6 DCC Paid LDFs'!F23/'Exercise 6 - Paid LDFs'!F20</f>
        <v>0.25275324363947849</v>
      </c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 t="s">
        <v>7</v>
      </c>
    </row>
    <row r="24" spans="1:32" ht="15.75">
      <c r="A24" s="49">
        <f t="shared" si="1"/>
        <v>2009</v>
      </c>
      <c r="B24" s="320">
        <f>+'Exercise 6 DCC Paid LDFs'!B24/'Exercise 6 - Paid LDFs'!B21</f>
        <v>4.9316677421692892E-2</v>
      </c>
      <c r="C24" s="320">
        <f>+'Exercise 6 DCC Paid LDFs'!C24/'Exercise 6 - Paid LDFs'!C21</f>
        <v>8.5534068506764954E-2</v>
      </c>
      <c r="D24" s="320">
        <f>+'Exercise 6 DCC Paid LDFs'!D24/'Exercise 6 - Paid LDFs'!D21</f>
        <v>0.2147363294721796</v>
      </c>
      <c r="E24" s="320">
        <f>+'Exercise 6 DCC Paid LDFs'!E24/'Exercise 6 - Paid LDFs'!E21</f>
        <v>0.41636247840169366</v>
      </c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 t="s">
        <v>7</v>
      </c>
    </row>
    <row r="25" spans="1:32" ht="15.75">
      <c r="A25" s="49">
        <f t="shared" si="1"/>
        <v>2010</v>
      </c>
      <c r="B25" s="320">
        <f>+'Exercise 6 DCC Paid LDFs'!B25/'Exercise 6 - Paid LDFs'!B22</f>
        <v>0.13295556565360028</v>
      </c>
      <c r="C25" s="320">
        <f>+'Exercise 6 DCC Paid LDFs'!C25/'Exercise 6 - Paid LDFs'!C22</f>
        <v>0.21520890412600202</v>
      </c>
      <c r="D25" s="320">
        <f>+'Exercise 6 DCC Paid LDFs'!D25/'Exercise 6 - Paid LDFs'!D22</f>
        <v>0.33510473535790664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 t="s">
        <v>7</v>
      </c>
    </row>
    <row r="26" spans="1:32" ht="15.75">
      <c r="A26" s="49">
        <f>+A27-1</f>
        <v>2011</v>
      </c>
      <c r="B26" s="320">
        <f>+'Exercise 6 DCC Paid LDFs'!B26/'Exercise 6 - Paid LDFs'!B23</f>
        <v>0.21622125999349351</v>
      </c>
      <c r="C26" s="320">
        <f>+'Exercise 6 DCC Paid LDFs'!C26/'Exercise 6 - Paid LDFs'!C23</f>
        <v>0.18574767021915187</v>
      </c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 t="s">
        <v>7</v>
      </c>
    </row>
    <row r="27" spans="1:32">
      <c r="A27" s="51">
        <f>+'[1]Exercise 16 - Summary'!$A$31</f>
        <v>2012</v>
      </c>
      <c r="B27" s="320">
        <f>+'Exercise 6 DCC Paid LDFs'!B27/'Exercise 6 - Paid LDFs'!B24</f>
        <v>0.11867491152017647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S27" s="69"/>
      <c r="T27" s="68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</row>
    <row r="28" spans="1:32" ht="15.75"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53"/>
      <c r="M28" s="53"/>
      <c r="N28" s="53"/>
      <c r="O28" s="53"/>
      <c r="P28" s="53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30" spans="1:32">
      <c r="A30" s="40" t="str">
        <f>'[1]Exercise 12 - DCC Pd Pd-Ldfs '!$A$10</f>
        <v>Accident</v>
      </c>
      <c r="B30" s="41" t="s">
        <v>8</v>
      </c>
      <c r="C30" s="41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5"/>
    </row>
    <row r="31" spans="1:32">
      <c r="A31" s="43" t="s">
        <v>5</v>
      </c>
      <c r="B31" s="56" t="s">
        <v>9</v>
      </c>
      <c r="C31" s="56" t="s">
        <v>10</v>
      </c>
      <c r="D31" s="56" t="s">
        <v>11</v>
      </c>
      <c r="E31" s="56" t="s">
        <v>12</v>
      </c>
      <c r="F31" s="56" t="s">
        <v>13</v>
      </c>
      <c r="G31" s="56" t="s">
        <v>14</v>
      </c>
      <c r="H31" s="56" t="s">
        <v>15</v>
      </c>
      <c r="I31" s="56" t="s">
        <v>16</v>
      </c>
      <c r="J31" s="56" t="s">
        <v>17</v>
      </c>
      <c r="K31" s="56" t="s">
        <v>18</v>
      </c>
      <c r="L31" s="56" t="s">
        <v>19</v>
      </c>
      <c r="M31" s="56" t="s">
        <v>20</v>
      </c>
      <c r="N31" s="56" t="s">
        <v>21</v>
      </c>
      <c r="O31" s="56" t="s">
        <v>22</v>
      </c>
      <c r="P31" s="56" t="s">
        <v>23</v>
      </c>
    </row>
    <row r="32" spans="1:32">
      <c r="A32" s="49"/>
    </row>
    <row r="33" spans="1:16">
      <c r="A33" s="49">
        <f t="shared" ref="A33:A45" si="2">+A14</f>
        <v>1999</v>
      </c>
      <c r="B33" s="53">
        <f>ROUND(C13/B13,3)</f>
        <v>1.361</v>
      </c>
      <c r="C33" s="53">
        <f t="shared" ref="C33:N45" si="3">ROUND(D13/C13,3)</f>
        <v>1.946</v>
      </c>
      <c r="D33" s="53">
        <f t="shared" si="3"/>
        <v>1.4830000000000001</v>
      </c>
      <c r="E33" s="53">
        <f t="shared" si="3"/>
        <v>1.028</v>
      </c>
      <c r="F33" s="53">
        <f t="shared" si="3"/>
        <v>0.98199999999999998</v>
      </c>
      <c r="G33" s="53">
        <f t="shared" si="3"/>
        <v>0.997</v>
      </c>
      <c r="H33" s="53">
        <f t="shared" si="3"/>
        <v>1.0029999999999999</v>
      </c>
      <c r="I33" s="53">
        <f t="shared" si="3"/>
        <v>0.99299999999999999</v>
      </c>
      <c r="J33" s="53">
        <f t="shared" si="3"/>
        <v>0.99399999999999999</v>
      </c>
      <c r="K33" s="53">
        <f t="shared" si="3"/>
        <v>0.90200000000000002</v>
      </c>
      <c r="L33" s="53">
        <f t="shared" si="3"/>
        <v>0.95399999999999996</v>
      </c>
      <c r="M33" s="53">
        <f t="shared" si="3"/>
        <v>1</v>
      </c>
      <c r="N33" s="53">
        <f t="shared" si="3"/>
        <v>0.99</v>
      </c>
      <c r="O33" s="53">
        <f>ROUND(P13/O13,3)</f>
        <v>1</v>
      </c>
    </row>
    <row r="34" spans="1:16">
      <c r="A34" s="49">
        <f t="shared" si="2"/>
        <v>2000</v>
      </c>
      <c r="B34" s="53">
        <f t="shared" ref="B34:B46" si="4">ROUND(C14/B14,3)</f>
        <v>1.1499999999999999</v>
      </c>
      <c r="C34" s="53">
        <f t="shared" si="3"/>
        <v>1.6839999999999999</v>
      </c>
      <c r="D34" s="53">
        <f t="shared" si="3"/>
        <v>2.04</v>
      </c>
      <c r="E34" s="53">
        <f t="shared" si="3"/>
        <v>1.091</v>
      </c>
      <c r="F34" s="53">
        <f t="shared" si="3"/>
        <v>1.0029999999999999</v>
      </c>
      <c r="G34" s="53">
        <f t="shared" si="3"/>
        <v>1.0249999999999999</v>
      </c>
      <c r="H34" s="53">
        <f t="shared" si="3"/>
        <v>1.008</v>
      </c>
      <c r="I34" s="53">
        <f t="shared" si="3"/>
        <v>1.008</v>
      </c>
      <c r="J34" s="53">
        <f t="shared" si="3"/>
        <v>1.01</v>
      </c>
      <c r="K34" s="53">
        <f t="shared" si="3"/>
        <v>1</v>
      </c>
      <c r="L34" s="53">
        <f t="shared" si="3"/>
        <v>0.98399999999999999</v>
      </c>
      <c r="M34" s="53">
        <f t="shared" si="3"/>
        <v>0.88600000000000001</v>
      </c>
      <c r="N34" s="53">
        <f t="shared" si="3"/>
        <v>1.0109999999999999</v>
      </c>
    </row>
    <row r="35" spans="1:16">
      <c r="A35" s="49">
        <f t="shared" si="2"/>
        <v>2001</v>
      </c>
      <c r="B35" s="53">
        <f t="shared" si="4"/>
        <v>0.91</v>
      </c>
      <c r="C35" s="53">
        <f t="shared" si="3"/>
        <v>1.8</v>
      </c>
      <c r="D35" s="53">
        <f t="shared" si="3"/>
        <v>1.468</v>
      </c>
      <c r="E35" s="53">
        <f t="shared" si="3"/>
        <v>1.0529999999999999</v>
      </c>
      <c r="F35" s="53">
        <f t="shared" si="3"/>
        <v>1.0249999999999999</v>
      </c>
      <c r="G35" s="53">
        <f t="shared" si="3"/>
        <v>1.0189999999999999</v>
      </c>
      <c r="H35" s="53">
        <f t="shared" si="3"/>
        <v>1.02</v>
      </c>
      <c r="I35" s="53">
        <f t="shared" si="3"/>
        <v>1.012</v>
      </c>
      <c r="J35" s="53">
        <f t="shared" si="3"/>
        <v>1.0089999999999999</v>
      </c>
      <c r="K35" s="53">
        <f t="shared" si="3"/>
        <v>0.98699999999999999</v>
      </c>
      <c r="L35" s="53">
        <f t="shared" si="3"/>
        <v>0.86699999999999999</v>
      </c>
      <c r="M35" s="53">
        <f t="shared" si="3"/>
        <v>0.999</v>
      </c>
    </row>
    <row r="36" spans="1:16">
      <c r="A36" s="49">
        <f t="shared" si="2"/>
        <v>2002</v>
      </c>
      <c r="B36" s="53">
        <f t="shared" si="4"/>
        <v>1.3680000000000001</v>
      </c>
      <c r="C36" s="53">
        <f t="shared" si="3"/>
        <v>2.8690000000000002</v>
      </c>
      <c r="D36" s="53">
        <f t="shared" si="3"/>
        <v>1.4330000000000001</v>
      </c>
      <c r="E36" s="53">
        <f t="shared" si="3"/>
        <v>0.92</v>
      </c>
      <c r="F36" s="53">
        <f t="shared" si="3"/>
        <v>0.91</v>
      </c>
      <c r="G36" s="53">
        <f t="shared" si="3"/>
        <v>0.95299999999999996</v>
      </c>
      <c r="H36" s="53">
        <f t="shared" si="3"/>
        <v>0.99</v>
      </c>
      <c r="I36" s="53">
        <f t="shared" si="3"/>
        <v>0.96299999999999997</v>
      </c>
      <c r="J36" s="53">
        <f t="shared" si="3"/>
        <v>0.96</v>
      </c>
      <c r="K36" s="53">
        <f t="shared" si="3"/>
        <v>0.76100000000000001</v>
      </c>
      <c r="L36" s="53">
        <f t="shared" si="3"/>
        <v>1.0209999999999999</v>
      </c>
    </row>
    <row r="37" spans="1:16">
      <c r="A37" s="49">
        <f t="shared" si="2"/>
        <v>2003</v>
      </c>
      <c r="B37" s="53">
        <f t="shared" si="4"/>
        <v>2.339</v>
      </c>
      <c r="C37" s="53">
        <f t="shared" si="3"/>
        <v>1.385</v>
      </c>
      <c r="D37" s="53">
        <f t="shared" si="3"/>
        <v>1.294</v>
      </c>
      <c r="E37" s="53">
        <f t="shared" si="3"/>
        <v>1.173</v>
      </c>
      <c r="F37" s="53">
        <f t="shared" si="3"/>
        <v>0.88500000000000001</v>
      </c>
      <c r="G37" s="53">
        <f t="shared" si="3"/>
        <v>0.97099999999999997</v>
      </c>
      <c r="H37" s="53">
        <f t="shared" si="3"/>
        <v>0.98699999999999999</v>
      </c>
      <c r="I37" s="53">
        <f t="shared" si="3"/>
        <v>0.94499999999999995</v>
      </c>
      <c r="J37" s="53">
        <f t="shared" si="3"/>
        <v>0.98399999999999999</v>
      </c>
      <c r="K37" s="53">
        <f t="shared" si="3"/>
        <v>0.90700000000000003</v>
      </c>
    </row>
    <row r="38" spans="1:16">
      <c r="A38" s="49">
        <f t="shared" si="2"/>
        <v>2004</v>
      </c>
      <c r="B38" s="53">
        <f t="shared" si="4"/>
        <v>2.653</v>
      </c>
      <c r="C38" s="53">
        <f t="shared" si="3"/>
        <v>1.627</v>
      </c>
      <c r="D38" s="53">
        <f t="shared" si="3"/>
        <v>1.2889999999999999</v>
      </c>
      <c r="E38" s="53">
        <f t="shared" si="3"/>
        <v>0.86699999999999999</v>
      </c>
      <c r="F38" s="53">
        <f t="shared" si="3"/>
        <v>0.93799999999999994</v>
      </c>
      <c r="G38" s="53">
        <f t="shared" si="3"/>
        <v>0.99399999999999999</v>
      </c>
      <c r="H38" s="53">
        <f t="shared" si="3"/>
        <v>0.91300000000000003</v>
      </c>
      <c r="I38" s="53">
        <f t="shared" si="3"/>
        <v>0.88100000000000001</v>
      </c>
      <c r="J38" s="53">
        <f t="shared" si="3"/>
        <v>1.0289999999999999</v>
      </c>
      <c r="K38" s="53"/>
      <c r="L38" s="53"/>
      <c r="M38" s="53"/>
      <c r="N38" s="53"/>
      <c r="O38" s="53"/>
      <c r="P38" s="53"/>
    </row>
    <row r="39" spans="1:16">
      <c r="A39" s="49">
        <f t="shared" si="2"/>
        <v>2005</v>
      </c>
      <c r="B39" s="53">
        <f t="shared" si="4"/>
        <v>1.827</v>
      </c>
      <c r="C39" s="53">
        <f t="shared" si="3"/>
        <v>1.7370000000000001</v>
      </c>
      <c r="D39" s="53">
        <f t="shared" si="3"/>
        <v>1.2909999999999999</v>
      </c>
      <c r="E39" s="53">
        <f t="shared" si="3"/>
        <v>1.2969999999999999</v>
      </c>
      <c r="F39" s="53">
        <f t="shared" si="3"/>
        <v>0.96399999999999997</v>
      </c>
      <c r="G39" s="53">
        <f t="shared" si="3"/>
        <v>0.95099999999999996</v>
      </c>
      <c r="H39" s="53">
        <f t="shared" si="3"/>
        <v>0.85699999999999998</v>
      </c>
      <c r="I39" s="53">
        <f t="shared" si="3"/>
        <v>0.97799999999999998</v>
      </c>
      <c r="J39" s="53"/>
      <c r="K39" s="53"/>
      <c r="L39" s="53"/>
      <c r="M39" s="53"/>
      <c r="N39" s="53"/>
      <c r="O39" s="53"/>
      <c r="P39" s="53"/>
    </row>
    <row r="40" spans="1:16">
      <c r="A40" s="49">
        <f t="shared" si="2"/>
        <v>2006</v>
      </c>
      <c r="B40" s="53">
        <f t="shared" si="4"/>
        <v>2.052</v>
      </c>
      <c r="C40" s="53">
        <f t="shared" si="3"/>
        <v>3.5089999999999999</v>
      </c>
      <c r="D40" s="53">
        <f t="shared" si="3"/>
        <v>2.2360000000000002</v>
      </c>
      <c r="E40" s="53">
        <f t="shared" si="3"/>
        <v>1.0780000000000001</v>
      </c>
      <c r="F40" s="53">
        <f t="shared" si="3"/>
        <v>0.96099999999999997</v>
      </c>
      <c r="G40" s="53">
        <f t="shared" si="3"/>
        <v>0.97799999999999998</v>
      </c>
      <c r="H40" s="53">
        <f t="shared" si="3"/>
        <v>1.0069999999999999</v>
      </c>
      <c r="I40" s="53"/>
      <c r="J40" s="53"/>
      <c r="K40" s="53"/>
      <c r="L40" s="53"/>
      <c r="M40" s="53"/>
      <c r="N40" s="53"/>
      <c r="O40" s="53"/>
      <c r="P40" s="53"/>
    </row>
    <row r="41" spans="1:16">
      <c r="A41" s="49">
        <f t="shared" si="2"/>
        <v>2007</v>
      </c>
      <c r="B41" s="53">
        <f t="shared" si="4"/>
        <v>1.79</v>
      </c>
      <c r="C41" s="53">
        <f t="shared" si="3"/>
        <v>2.09</v>
      </c>
      <c r="D41" s="53">
        <f t="shared" si="3"/>
        <v>0.98699999999999999</v>
      </c>
      <c r="E41" s="53">
        <f t="shared" si="3"/>
        <v>1.2350000000000001</v>
      </c>
      <c r="F41" s="53">
        <f t="shared" si="3"/>
        <v>0.97799999999999998</v>
      </c>
      <c r="G41" s="53">
        <f t="shared" si="3"/>
        <v>0.99099999999999999</v>
      </c>
      <c r="H41" s="53"/>
      <c r="I41" s="53"/>
      <c r="J41" s="53"/>
      <c r="K41" s="53"/>
      <c r="L41" s="53"/>
      <c r="M41" s="53"/>
      <c r="N41" s="53"/>
      <c r="O41" s="53"/>
      <c r="P41" s="53"/>
    </row>
    <row r="42" spans="1:16">
      <c r="A42" s="49">
        <f t="shared" si="2"/>
        <v>2008</v>
      </c>
      <c r="B42" s="53">
        <f t="shared" si="4"/>
        <v>0.91700000000000004</v>
      </c>
      <c r="C42" s="53">
        <f t="shared" si="3"/>
        <v>2.5249999999999999</v>
      </c>
      <c r="D42" s="53">
        <f t="shared" si="3"/>
        <v>1.0549999999999999</v>
      </c>
      <c r="E42" s="53">
        <f t="shared" si="3"/>
        <v>0.64900000000000002</v>
      </c>
      <c r="F42" s="53">
        <f t="shared" si="3"/>
        <v>0.91700000000000004</v>
      </c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>
      <c r="A43" s="49">
        <f t="shared" si="2"/>
        <v>2009</v>
      </c>
      <c r="B43" s="53">
        <f t="shared" si="4"/>
        <v>1.91</v>
      </c>
      <c r="C43" s="53">
        <f t="shared" si="3"/>
        <v>3.2080000000000002</v>
      </c>
      <c r="D43" s="53">
        <f t="shared" si="3"/>
        <v>1.6379999999999999</v>
      </c>
      <c r="E43" s="53">
        <f t="shared" si="3"/>
        <v>0.76700000000000002</v>
      </c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16">
      <c r="A44" s="49">
        <f t="shared" si="2"/>
        <v>2010</v>
      </c>
      <c r="B44" s="53">
        <f t="shared" si="4"/>
        <v>1.734</v>
      </c>
      <c r="C44" s="53">
        <f t="shared" si="3"/>
        <v>2.5110000000000001</v>
      </c>
      <c r="D44" s="53">
        <f t="shared" si="3"/>
        <v>1.9390000000000001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>
      <c r="A45" s="49">
        <f t="shared" si="2"/>
        <v>2011</v>
      </c>
      <c r="B45" s="53">
        <f t="shared" si="4"/>
        <v>1.619</v>
      </c>
      <c r="C45" s="53">
        <f t="shared" si="3"/>
        <v>1.5569999999999999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>
      <c r="A46" s="51">
        <f>+EndYear</f>
        <v>2016</v>
      </c>
      <c r="B46" s="53">
        <f t="shared" si="4"/>
        <v>0.85899999999999999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</row>
    <row r="47" spans="1:16">
      <c r="B47" s="58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1:16">
      <c r="A48" s="59" t="s">
        <v>24</v>
      </c>
      <c r="B48" s="59"/>
    </row>
    <row r="49" spans="1:17">
      <c r="A49" s="59" t="s">
        <v>25</v>
      </c>
      <c r="B49" s="53">
        <f>ROUND(AVERAGE(B44:B46),3)</f>
        <v>1.4039999999999999</v>
      </c>
      <c r="C49" s="53">
        <f>ROUND(AVERAGE(C43:C45),3)</f>
        <v>2.4249999999999998</v>
      </c>
      <c r="D49" s="53">
        <f>ROUND(AVERAGE(D42:D44),3)</f>
        <v>1.544</v>
      </c>
      <c r="E49" s="53">
        <f>ROUND(AVERAGE(E41:E43),3)</f>
        <v>0.88400000000000001</v>
      </c>
      <c r="F49" s="53">
        <f>ROUND(AVERAGE(F40:F42),3)</f>
        <v>0.95199999999999996</v>
      </c>
      <c r="G49" s="53">
        <f>ROUND(AVERAGE(G39:G41),3)</f>
        <v>0.97299999999999998</v>
      </c>
      <c r="H49" s="53">
        <f>ROUND(AVERAGE(H38:H40),3)</f>
        <v>0.92600000000000005</v>
      </c>
      <c r="I49" s="53">
        <f>ROUND(AVERAGE(I37:I39),3)</f>
        <v>0.93500000000000005</v>
      </c>
      <c r="J49" s="53">
        <f>ROUND(AVERAGE(J36:J38),3)</f>
        <v>0.99099999999999999</v>
      </c>
      <c r="K49" s="53">
        <f>ROUND(AVERAGE(K35:K37),3)</f>
        <v>0.88500000000000001</v>
      </c>
      <c r="L49" s="53">
        <f>ROUND(AVERAGE(L34:L36),3)</f>
        <v>0.95699999999999996</v>
      </c>
      <c r="M49" s="53">
        <f>ROUND(AVERAGE(M33:M35),3)</f>
        <v>0.96199999999999997</v>
      </c>
      <c r="N49" s="53"/>
      <c r="O49" s="53"/>
      <c r="P49" s="53"/>
    </row>
    <row r="50" spans="1:17">
      <c r="A50" s="59" t="s">
        <v>26</v>
      </c>
      <c r="B50" s="53">
        <f>ROUND(AVERAGE(B42:B46),3)</f>
        <v>1.4079999999999999</v>
      </c>
      <c r="C50" s="53">
        <f>ROUND(AVERAGE(C41:C45),3)</f>
        <v>2.3780000000000001</v>
      </c>
      <c r="D50" s="53">
        <f>ROUND(AVERAGE(D40:D44),3)</f>
        <v>1.571</v>
      </c>
      <c r="E50" s="53">
        <f>ROUND(AVERAGE(E39:E43),3)</f>
        <v>1.0049999999999999</v>
      </c>
      <c r="F50" s="53">
        <f>ROUND(AVERAGE(F38:F42),3)</f>
        <v>0.95199999999999996</v>
      </c>
      <c r="G50" s="53">
        <f>ROUND(AVERAGE(G37:G41),3)</f>
        <v>0.97699999999999998</v>
      </c>
      <c r="H50" s="53">
        <f>ROUND(AVERAGE(H36:H40),3)</f>
        <v>0.95099999999999996</v>
      </c>
      <c r="I50" s="53">
        <f>ROUND(AVERAGE(I35:I39),3)</f>
        <v>0.95599999999999996</v>
      </c>
      <c r="J50" s="53">
        <f>ROUND(AVERAGE(J34:J38),3)</f>
        <v>0.998</v>
      </c>
      <c r="K50" s="53">
        <f>ROUND(AVERAGE(K33:K37),3)</f>
        <v>0.91100000000000003</v>
      </c>
      <c r="L50" s="53">
        <f>ROUND(AVERAGE(L33:L36),3)</f>
        <v>0.95699999999999996</v>
      </c>
      <c r="M50" s="53"/>
      <c r="N50" s="53"/>
      <c r="O50" s="53"/>
      <c r="P50" s="53"/>
    </row>
    <row r="51" spans="1:17">
      <c r="A51" s="59" t="s">
        <v>27</v>
      </c>
      <c r="B51" s="53">
        <f>ROUND((SUM(B42:B46)-MAX(B42:B46)-MIN(B42:B46))/3,3)</f>
        <v>1.423</v>
      </c>
      <c r="C51" s="53">
        <f>ROUND((SUM(C41:C45)-MAX(C41:C45)-MIN(C41:C45))/3,3)</f>
        <v>2.375</v>
      </c>
      <c r="D51" s="53">
        <f>ROUND((SUM(D40:D44)-MAX(D40:D44)-MIN(D40:D44))/3,3)</f>
        <v>1.544</v>
      </c>
      <c r="E51" s="53">
        <f>ROUND((SUM(E39:E43)-MAX(E39:E43)-MIN(E39:E43))/3,3)</f>
        <v>1.0269999999999999</v>
      </c>
      <c r="F51" s="53">
        <f>ROUND((SUM(F38:F42)-MAX(F38:F42)-MIN(F38:F42))/3,3)</f>
        <v>0.95399999999999996</v>
      </c>
      <c r="G51" s="53">
        <f>ROUND((SUM(G37:G41)-MAX(G37:G41)-MIN(G37:G41))/3,3)</f>
        <v>0.98</v>
      </c>
      <c r="H51" s="53">
        <f>ROUND((SUM(H36:H40)-MAX(H36:H40)-MIN(H36:H40))/3,3)</f>
        <v>0.96299999999999997</v>
      </c>
      <c r="I51" s="53">
        <f>ROUND((SUM(I35:I39)-MAX(I35:I39)-MIN(I35:I39))/3,3)</f>
        <v>0.96199999999999997</v>
      </c>
      <c r="J51" s="53">
        <f>ROUND((SUM(J34:J38)-MAX(J34:J38)-MIN(J34:J38))/3,3)</f>
        <v>1.0009999999999999</v>
      </c>
      <c r="K51" s="53">
        <f>ROUND((SUM(K33:K37)-MAX(K33:K37)-MIN(K33:K37))/3,3)</f>
        <v>0.93200000000000005</v>
      </c>
      <c r="L51" s="53"/>
      <c r="N51" s="53"/>
      <c r="O51" s="53"/>
      <c r="P51" s="53"/>
      <c r="Q51" s="58"/>
    </row>
    <row r="52" spans="1:17">
      <c r="A52" s="60" t="s">
        <v>28</v>
      </c>
      <c r="B52" s="53">
        <f>ROUND(AVERAGE(B32:B46),3)</f>
        <v>1.6060000000000001</v>
      </c>
      <c r="C52" s="53">
        <f t="shared" ref="C52:O52" si="5">ROUND(AVERAGE(C32:C46),3)</f>
        <v>2.1880000000000002</v>
      </c>
      <c r="D52" s="53">
        <f t="shared" si="5"/>
        <v>1.5129999999999999</v>
      </c>
      <c r="E52" s="53">
        <f t="shared" si="5"/>
        <v>1.014</v>
      </c>
      <c r="F52" s="53">
        <f t="shared" si="5"/>
        <v>0.95599999999999996</v>
      </c>
      <c r="G52" s="53">
        <f t="shared" si="5"/>
        <v>0.98699999999999999</v>
      </c>
      <c r="H52" s="53">
        <f t="shared" si="5"/>
        <v>0.97299999999999998</v>
      </c>
      <c r="I52" s="53">
        <f t="shared" si="5"/>
        <v>0.96899999999999997</v>
      </c>
      <c r="J52" s="53">
        <f t="shared" si="5"/>
        <v>0.998</v>
      </c>
      <c r="K52" s="53">
        <f t="shared" si="5"/>
        <v>0.91100000000000003</v>
      </c>
      <c r="L52" s="53">
        <f t="shared" si="5"/>
        <v>0.95699999999999996</v>
      </c>
      <c r="M52" s="53">
        <f t="shared" si="5"/>
        <v>0.96199999999999997</v>
      </c>
      <c r="N52" s="53">
        <f t="shared" si="5"/>
        <v>1.0009999999999999</v>
      </c>
      <c r="O52" s="53">
        <f t="shared" si="5"/>
        <v>1</v>
      </c>
      <c r="P52" s="53"/>
      <c r="Q52" s="58"/>
    </row>
    <row r="53" spans="1:17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8"/>
    </row>
    <row r="54" spans="1:17">
      <c r="A54" s="59" t="s">
        <v>29</v>
      </c>
      <c r="B54" s="53">
        <f>ROUND(SUM(C24:C26)/SUM(B24:B26),3)</f>
        <v>1.2210000000000001</v>
      </c>
      <c r="C54" s="53">
        <f>ROUND(SUM(D23:D25)/SUM(C23:C25),3)</f>
        <v>2.0659999999999998</v>
      </c>
      <c r="D54" s="53">
        <f>ROUND(SUM(E22:E24)/SUM(D22:D24),3)</f>
        <v>1.5129999999999999</v>
      </c>
      <c r="E54" s="53">
        <f>ROUND(SUM(F21:F23)/SUM(E21:E23),3)</f>
        <v>0.88</v>
      </c>
      <c r="F54" s="53">
        <f>ROUND(SUM(G20:G22)/SUM(F20:F22),3)</f>
        <v>0.95899999999999996</v>
      </c>
      <c r="G54" s="53">
        <f>ROUND(SUM(H19:H21)/SUM(G19:G21),3)</f>
        <v>0.96899999999999997</v>
      </c>
      <c r="H54" s="53">
        <f>ROUND(SUM(I18:I20)/SUM(H18:H20),3)</f>
        <v>0.91700000000000004</v>
      </c>
      <c r="I54" s="53">
        <f>ROUND(SUM(J17:J19)/SUM(I17:I19),3)</f>
        <v>0.93799999999999994</v>
      </c>
      <c r="J54" s="53">
        <f>ROUND(SUM(K16:K18)/SUM(J16:J18),3)</f>
        <v>0.995</v>
      </c>
      <c r="K54" s="53">
        <f>ROUND(SUM(L15:L17)/SUM(K15:K17),3)</f>
        <v>0.876</v>
      </c>
      <c r="L54" s="53">
        <f>ROUND(SUM(M14:M16)/SUM(L14:L16),3)</f>
        <v>0.96</v>
      </c>
      <c r="M54" s="53">
        <f>ROUND(SUM(N13:N15)/SUM(M13:M15),3)</f>
        <v>0.94899999999999995</v>
      </c>
      <c r="N54" s="53">
        <f>ROUND(SUM(O12:O14)/SUM(N12:N14),3)</f>
        <v>1.002</v>
      </c>
      <c r="O54" s="53"/>
      <c r="P54" s="53"/>
      <c r="Q54" s="58"/>
    </row>
    <row r="55" spans="1:17">
      <c r="A55" s="59" t="s">
        <v>30</v>
      </c>
      <c r="B55" s="53">
        <f>ROUND(SUM(C22:C26)/SUM(B22:B26),3)</f>
        <v>1.2010000000000001</v>
      </c>
      <c r="C55" s="53">
        <f>ROUND(SUM(D21:D25)/SUM(C21:C25),3)</f>
        <v>2.149</v>
      </c>
      <c r="D55" s="53">
        <f>ROUND(SUM(E20:E24)/SUM(D20:D24),3)</f>
        <v>1.51</v>
      </c>
      <c r="E55" s="53">
        <f>ROUND(SUM(F19:F23)/SUM(E19:E23),3)</f>
        <v>1.05</v>
      </c>
      <c r="F55" s="53">
        <f>ROUND(SUM(G18:G22)/SUM(F18:F22),3)</f>
        <v>0.95599999999999996</v>
      </c>
      <c r="G55" s="53">
        <f>ROUND(SUM(H17:H21)/SUM(G17:G21),3)</f>
        <v>0.97399999999999998</v>
      </c>
      <c r="H55" s="53">
        <f>ROUND(SUM(I16:I20)/SUM(H16:H20),3)</f>
        <v>0.93600000000000005</v>
      </c>
      <c r="I55" s="53">
        <f>ROUND(SUM(J15:J19)/SUM(I15:I19),3)</f>
        <v>0.95199999999999996</v>
      </c>
      <c r="J55" s="53">
        <f>ROUND(SUM(K14:K18)/SUM(J14:J18),3)</f>
        <v>1</v>
      </c>
      <c r="K55" s="53">
        <f>ROUND(SUM(L13:L17)/SUM(K13:K17),3)</f>
        <v>0.91</v>
      </c>
      <c r="L55" s="53"/>
      <c r="P55" s="53"/>
      <c r="Q55" s="58"/>
    </row>
    <row r="56" spans="1:17">
      <c r="A56" s="60" t="s">
        <v>28</v>
      </c>
      <c r="B56" s="53">
        <f>ROUND(SUM(C$13:C26)/SUM(B$13:B26),3)</f>
        <v>1.5029999999999999</v>
      </c>
      <c r="C56" s="53">
        <f>ROUND(SUM(D$13:D25)/SUM(C$13:C25),3)</f>
        <v>1.974</v>
      </c>
      <c r="D56" s="53">
        <f>ROUND(SUM(E$13:E24)/SUM(D$13:D24),3)</f>
        <v>1.4410000000000001</v>
      </c>
      <c r="E56" s="53">
        <f>ROUND(SUM(F$13:F23)/SUM(E$13:E23),3)</f>
        <v>1.0189999999999999</v>
      </c>
      <c r="F56" s="53">
        <f>ROUND(SUM(G$13:G22)/SUM(F$13:F22),3)</f>
        <v>0.95399999999999996</v>
      </c>
      <c r="G56" s="53">
        <f>ROUND(SUM(H$13:H21)/SUM(G$13:G21),3)</f>
        <v>0.98099999999999998</v>
      </c>
      <c r="H56" s="53">
        <f>ROUND(SUM(I$13:I20)/SUM(H$13:H20),3)</f>
        <v>0.95399999999999996</v>
      </c>
      <c r="I56" s="53">
        <f>ROUND(SUM(J$13:J19)/SUM(I$13:I19),3)</f>
        <v>0.96299999999999997</v>
      </c>
      <c r="J56" s="53">
        <f>ROUND(SUM(K$13:K18)/SUM(J$13:J18),3)</f>
        <v>0.999</v>
      </c>
      <c r="K56" s="53">
        <f>ROUND(SUM(L$13:L17)/SUM(K$13:K17),3)</f>
        <v>0.91</v>
      </c>
      <c r="L56" s="53">
        <f>ROUND(SUM(M$13:M16)/SUM(L$13:L16),3)</f>
        <v>0.95899999999999996</v>
      </c>
      <c r="M56" s="53">
        <f>ROUND(SUM(N$13:N15)/SUM(M$13:M15),3)</f>
        <v>0.94899999999999995</v>
      </c>
      <c r="N56" s="53">
        <f>ROUND(SUM(O$13:O14)/SUM(N$13:N14),3)</f>
        <v>1.002</v>
      </c>
      <c r="O56" s="53">
        <f>ROUND(SUM(P$13:P13)/SUM(O$13:O13),3)</f>
        <v>1</v>
      </c>
      <c r="P56" s="53"/>
      <c r="Q56" s="58"/>
    </row>
    <row r="57" spans="1:17">
      <c r="P57" s="53"/>
      <c r="Q57" s="58"/>
    </row>
    <row r="58" spans="1:17">
      <c r="A58" s="38" t="s">
        <v>34</v>
      </c>
      <c r="B58" s="32">
        <f t="shared" ref="B58:N58" si="6">+B56</f>
        <v>1.5029999999999999</v>
      </c>
      <c r="C58" s="32">
        <f t="shared" si="6"/>
        <v>1.974</v>
      </c>
      <c r="D58" s="32">
        <f t="shared" si="6"/>
        <v>1.4410000000000001</v>
      </c>
      <c r="E58" s="32">
        <f t="shared" si="6"/>
        <v>1.0189999999999999</v>
      </c>
      <c r="F58" s="32">
        <f t="shared" si="6"/>
        <v>0.95399999999999996</v>
      </c>
      <c r="G58" s="32">
        <f t="shared" si="6"/>
        <v>0.98099999999999998</v>
      </c>
      <c r="H58" s="32">
        <f t="shared" si="6"/>
        <v>0.95399999999999996</v>
      </c>
      <c r="I58" s="32">
        <f t="shared" si="6"/>
        <v>0.96299999999999997</v>
      </c>
      <c r="J58" s="32">
        <f t="shared" si="6"/>
        <v>0.999</v>
      </c>
      <c r="K58" s="32">
        <f t="shared" si="6"/>
        <v>0.91</v>
      </c>
      <c r="L58" s="32">
        <f t="shared" si="6"/>
        <v>0.95899999999999996</v>
      </c>
      <c r="M58" s="32">
        <f t="shared" si="6"/>
        <v>0.94899999999999995</v>
      </c>
      <c r="N58" s="32">
        <f t="shared" si="6"/>
        <v>1.002</v>
      </c>
      <c r="O58" s="32">
        <v>1</v>
      </c>
      <c r="P58" s="32">
        <v>1</v>
      </c>
      <c r="Q58" s="58"/>
    </row>
    <row r="59" spans="1:17">
      <c r="A59" s="38" t="s">
        <v>35</v>
      </c>
      <c r="B59" s="314">
        <f t="shared" ref="B59:N59" si="7">B58*C59</f>
        <v>3.1052442003808776</v>
      </c>
      <c r="C59" s="314">
        <f t="shared" si="7"/>
        <v>2.0660307387763659</v>
      </c>
      <c r="D59" s="314">
        <f t="shared" si="7"/>
        <v>1.0466214482149776</v>
      </c>
      <c r="E59" s="314">
        <f t="shared" si="7"/>
        <v>0.72631606399373883</v>
      </c>
      <c r="F59" s="314">
        <f t="shared" si="7"/>
        <v>0.71277336996441498</v>
      </c>
      <c r="G59" s="314">
        <f t="shared" si="7"/>
        <v>0.74714189723733226</v>
      </c>
      <c r="H59" s="314">
        <f t="shared" si="7"/>
        <v>0.76161253541012464</v>
      </c>
      <c r="I59" s="314">
        <f t="shared" si="7"/>
        <v>0.79833599099593777</v>
      </c>
      <c r="J59" s="314">
        <f t="shared" si="7"/>
        <v>0.82900933644437991</v>
      </c>
      <c r="K59" s="314">
        <f t="shared" si="7"/>
        <v>0.82983917561999987</v>
      </c>
      <c r="L59" s="314">
        <f t="shared" si="7"/>
        <v>0.91191118199999988</v>
      </c>
      <c r="M59" s="314">
        <f t="shared" si="7"/>
        <v>0.95089799999999991</v>
      </c>
      <c r="N59" s="314">
        <f t="shared" si="7"/>
        <v>1.002</v>
      </c>
      <c r="O59" s="314">
        <f>O58*P59</f>
        <v>1</v>
      </c>
      <c r="P59" s="314">
        <f>P58</f>
        <v>1</v>
      </c>
      <c r="Q59" s="58"/>
    </row>
    <row r="60" spans="1:17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</row>
    <row r="105" spans="1:20" ht="45">
      <c r="A105" s="3"/>
      <c r="S105" s="45" t="s">
        <v>128</v>
      </c>
      <c r="T105" s="250" t="str">
        <f>+A6</f>
        <v>Paid DCC / Paid Loss</v>
      </c>
    </row>
    <row r="106" spans="1:20">
      <c r="A106" s="3"/>
      <c r="S106" s="207">
        <f>+EvalDate</f>
        <v>42735</v>
      </c>
      <c r="T106" s="3" t="s">
        <v>137</v>
      </c>
    </row>
    <row r="107" spans="1:20">
      <c r="A107" s="3"/>
      <c r="B107" s="246">
        <v>12</v>
      </c>
      <c r="C107" s="246">
        <f>+B107+12</f>
        <v>24</v>
      </c>
      <c r="D107" s="246">
        <f>+C107+12</f>
        <v>36</v>
      </c>
      <c r="E107" s="246">
        <f t="shared" ref="E107:P107" si="8">+D107+12</f>
        <v>48</v>
      </c>
      <c r="F107" s="246">
        <f t="shared" si="8"/>
        <v>60</v>
      </c>
      <c r="G107" s="246">
        <f t="shared" si="8"/>
        <v>72</v>
      </c>
      <c r="H107" s="246">
        <f t="shared" si="8"/>
        <v>84</v>
      </c>
      <c r="I107" s="246">
        <f t="shared" si="8"/>
        <v>96</v>
      </c>
      <c r="J107" s="246">
        <f t="shared" si="8"/>
        <v>108</v>
      </c>
      <c r="K107" s="246">
        <f t="shared" si="8"/>
        <v>120</v>
      </c>
      <c r="L107" s="246">
        <f t="shared" si="8"/>
        <v>132</v>
      </c>
      <c r="M107" s="246">
        <f t="shared" si="8"/>
        <v>144</v>
      </c>
      <c r="N107" s="246">
        <f t="shared" si="8"/>
        <v>156</v>
      </c>
      <c r="O107" s="246">
        <f t="shared" si="8"/>
        <v>168</v>
      </c>
      <c r="P107" s="246">
        <f t="shared" si="8"/>
        <v>180</v>
      </c>
      <c r="Q107" s="246"/>
      <c r="R107" s="247"/>
      <c r="T107" s="247"/>
    </row>
    <row r="108" spans="1:20">
      <c r="A108" s="3"/>
      <c r="B108" s="248">
        <f>+B59</f>
        <v>3.1052442003808776</v>
      </c>
      <c r="C108" s="248">
        <f>+C59</f>
        <v>2.0660307387763659</v>
      </c>
      <c r="D108" s="248">
        <f t="shared" ref="D108:P108" si="9">+D59</f>
        <v>1.0466214482149776</v>
      </c>
      <c r="E108" s="248">
        <f t="shared" si="9"/>
        <v>0.72631606399373883</v>
      </c>
      <c r="F108" s="248">
        <f t="shared" si="9"/>
        <v>0.71277336996441498</v>
      </c>
      <c r="G108" s="248">
        <f t="shared" si="9"/>
        <v>0.74714189723733226</v>
      </c>
      <c r="H108" s="248">
        <f t="shared" si="9"/>
        <v>0.76161253541012464</v>
      </c>
      <c r="I108" s="248">
        <f t="shared" si="9"/>
        <v>0.79833599099593777</v>
      </c>
      <c r="J108" s="248">
        <f t="shared" si="9"/>
        <v>0.82900933644437991</v>
      </c>
      <c r="K108" s="248">
        <f t="shared" si="9"/>
        <v>0.82983917561999987</v>
      </c>
      <c r="L108" s="248">
        <f t="shared" si="9"/>
        <v>0.91191118199999988</v>
      </c>
      <c r="M108" s="248">
        <f t="shared" si="9"/>
        <v>0.95089799999999991</v>
      </c>
      <c r="N108" s="248">
        <f t="shared" si="9"/>
        <v>1.002</v>
      </c>
      <c r="O108" s="248">
        <f t="shared" si="9"/>
        <v>1</v>
      </c>
      <c r="P108" s="248">
        <f t="shared" si="9"/>
        <v>1</v>
      </c>
      <c r="Q108" s="247"/>
      <c r="R108" s="247">
        <f t="shared" ref="R108:R120" si="10">+R109+12</f>
        <v>180</v>
      </c>
      <c r="S108" s="251">
        <f>+P13</f>
        <v>0.17687319862719372</v>
      </c>
      <c r="T108" s="249">
        <f t="shared" ref="T108:T122" si="11">+HLOOKUP(R108,$B$107:$Q$108,2,FALSE)</f>
        <v>1</v>
      </c>
    </row>
    <row r="109" spans="1:20">
      <c r="A109" s="3"/>
      <c r="B109" s="247"/>
      <c r="C109" s="247"/>
      <c r="D109" s="247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  <c r="R109" s="247">
        <f t="shared" si="10"/>
        <v>168</v>
      </c>
      <c r="S109" s="251">
        <f>+O14</f>
        <v>0.26243420700778619</v>
      </c>
      <c r="T109" s="249">
        <f t="shared" si="11"/>
        <v>1</v>
      </c>
    </row>
    <row r="110" spans="1:20">
      <c r="A110" s="3"/>
      <c r="B110" s="247"/>
      <c r="C110" s="247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  <c r="R110" s="247">
        <f t="shared" si="10"/>
        <v>156</v>
      </c>
      <c r="S110" s="251">
        <f>+N15</f>
        <v>0.18976802184824523</v>
      </c>
      <c r="T110" s="249">
        <f t="shared" si="11"/>
        <v>1.002</v>
      </c>
    </row>
    <row r="111" spans="1:20">
      <c r="A111" s="3"/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>
        <f t="shared" si="10"/>
        <v>144</v>
      </c>
      <c r="S111" s="251">
        <f>+M16</f>
        <v>0.21874243009343428</v>
      </c>
      <c r="T111" s="249">
        <f t="shared" si="11"/>
        <v>0.95089799999999991</v>
      </c>
    </row>
    <row r="112" spans="1:20">
      <c r="A112" s="3"/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>
        <f t="shared" si="10"/>
        <v>132</v>
      </c>
      <c r="S112" s="251">
        <f>+L17</f>
        <v>0.22025091774508193</v>
      </c>
      <c r="T112" s="249">
        <f t="shared" si="11"/>
        <v>0.91191118199999988</v>
      </c>
    </row>
    <row r="113" spans="1:20">
      <c r="A113" s="3"/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>
        <f t="shared" si="10"/>
        <v>120</v>
      </c>
      <c r="S113" s="251">
        <f>+K18</f>
        <v>0.38312201040520227</v>
      </c>
      <c r="T113" s="249">
        <f t="shared" si="11"/>
        <v>0.82983917561999987</v>
      </c>
    </row>
    <row r="114" spans="1:20">
      <c r="A114" s="3"/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>
        <f t="shared" si="10"/>
        <v>108</v>
      </c>
      <c r="S114" s="251">
        <f>+J19</f>
        <v>0.55403284670948127</v>
      </c>
      <c r="T114" s="249">
        <f t="shared" si="11"/>
        <v>0.82900933644437991</v>
      </c>
    </row>
    <row r="115" spans="1:20">
      <c r="A115" s="3"/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>
        <f t="shared" si="10"/>
        <v>96</v>
      </c>
      <c r="S115" s="251">
        <f>+I20</f>
        <v>0.45719068155080067</v>
      </c>
      <c r="T115" s="249">
        <f t="shared" si="11"/>
        <v>0.79833599099593777</v>
      </c>
    </row>
    <row r="116" spans="1:20">
      <c r="A116" s="3"/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>
        <f t="shared" si="10"/>
        <v>84</v>
      </c>
      <c r="S116" s="251">
        <f>+H21</f>
        <v>0.33398214741752885</v>
      </c>
      <c r="T116" s="249">
        <f t="shared" si="11"/>
        <v>0.76161253541012464</v>
      </c>
    </row>
    <row r="117" spans="1:20">
      <c r="A117" s="3"/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>
        <f t="shared" si="10"/>
        <v>72</v>
      </c>
      <c r="S117" s="251">
        <f>+G22</f>
        <v>0.15998731558204765</v>
      </c>
      <c r="T117" s="249">
        <f t="shared" si="11"/>
        <v>0.74714189723733226</v>
      </c>
    </row>
    <row r="118" spans="1:20">
      <c r="A118" s="3"/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>
        <f t="shared" si="10"/>
        <v>60</v>
      </c>
      <c r="S118" s="251">
        <f>+F23</f>
        <v>0.25275324363947849</v>
      </c>
      <c r="T118" s="249">
        <f t="shared" si="11"/>
        <v>0.71277336996441498</v>
      </c>
    </row>
    <row r="119" spans="1:20">
      <c r="A119" s="3"/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>
        <f t="shared" si="10"/>
        <v>48</v>
      </c>
      <c r="S119" s="251">
        <f>+E24</f>
        <v>0.41636247840169366</v>
      </c>
      <c r="T119" s="249">
        <f t="shared" si="11"/>
        <v>0.72631606399373883</v>
      </c>
    </row>
    <row r="120" spans="1:20">
      <c r="A120" s="3"/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>
        <f t="shared" si="10"/>
        <v>36</v>
      </c>
      <c r="S120" s="251">
        <f>+D25</f>
        <v>0.33510473535790664</v>
      </c>
      <c r="T120" s="249">
        <f t="shared" si="11"/>
        <v>1.0466214482149776</v>
      </c>
    </row>
    <row r="121" spans="1:20">
      <c r="A121" s="3"/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>
        <f>+R122+12</f>
        <v>24</v>
      </c>
      <c r="S121" s="251">
        <f>+C26</f>
        <v>0.18574767021915187</v>
      </c>
      <c r="T121" s="249">
        <f t="shared" si="11"/>
        <v>2.0660307387763659</v>
      </c>
    </row>
    <row r="122" spans="1:20">
      <c r="A122" s="3"/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>
        <v>12</v>
      </c>
      <c r="S122" s="251">
        <f>+B27</f>
        <v>0.11867491152017647</v>
      </c>
      <c r="T122" s="249">
        <f t="shared" si="11"/>
        <v>3.1052442003808776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F122"/>
  <sheetViews>
    <sheetView showGridLines="0" topLeftCell="A3" workbookViewId="0">
      <selection sqref="A1:G33"/>
    </sheetView>
  </sheetViews>
  <sheetFormatPr defaultRowHeight="12.75"/>
  <cols>
    <col min="1" max="2" width="13.42578125" customWidth="1"/>
    <col min="3" max="3" width="14.85546875" customWidth="1"/>
    <col min="4" max="4" width="14.140625" customWidth="1"/>
    <col min="5" max="5" width="17.7109375" customWidth="1"/>
    <col min="6" max="6" width="17.5703125" customWidth="1"/>
    <col min="7" max="7" width="2.5703125" customWidth="1"/>
    <col min="8" max="9" width="10" customWidth="1"/>
    <col min="10" max="10" width="14.140625" customWidth="1"/>
  </cols>
  <sheetData>
    <row r="1" spans="1:6" ht="15.75">
      <c r="A1" s="203" t="s">
        <v>0</v>
      </c>
      <c r="B1" s="73"/>
    </row>
    <row r="2" spans="1:6" ht="15.75">
      <c r="A2" s="204" t="str">
        <f>+"Analysis of Loss &amp; DCC Reserves as of "&amp;TEXT(EvalDate,"mm/dd/yyy")</f>
        <v>Analysis of Loss &amp; DCC Reserves as of 12/31/2016</v>
      </c>
      <c r="B2" s="73"/>
    </row>
    <row r="3" spans="1:6" ht="15.75">
      <c r="A3" s="205" t="str">
        <f>+LOB</f>
        <v>Liability</v>
      </c>
      <c r="B3" s="73"/>
    </row>
    <row r="5" spans="1:6" ht="15.75">
      <c r="A5" s="104" t="s">
        <v>134</v>
      </c>
      <c r="B5" s="73"/>
    </row>
    <row r="6" spans="1:6" ht="15.75">
      <c r="A6" s="73"/>
      <c r="B6" s="73"/>
    </row>
    <row r="7" spans="1:6" ht="15.75">
      <c r="A7" s="73"/>
      <c r="B7" s="74"/>
      <c r="C7" s="75"/>
      <c r="D7" s="76"/>
      <c r="E7" s="76"/>
      <c r="F7" s="76"/>
    </row>
    <row r="8" spans="1:6" ht="15.75">
      <c r="A8" s="73"/>
      <c r="B8" s="78" t="s">
        <v>45</v>
      </c>
      <c r="C8" s="79" t="s">
        <v>46</v>
      </c>
      <c r="D8" s="79" t="s">
        <v>47</v>
      </c>
      <c r="E8" s="79" t="s">
        <v>48</v>
      </c>
      <c r="F8" s="79" t="s">
        <v>49</v>
      </c>
    </row>
    <row r="9" spans="1:6" ht="15.75">
      <c r="A9" s="40"/>
      <c r="B9" s="81"/>
      <c r="C9" s="82"/>
      <c r="D9" s="83"/>
      <c r="E9" s="84"/>
      <c r="F9" s="84"/>
    </row>
    <row r="10" spans="1:6" ht="15.75">
      <c r="A10" s="46"/>
      <c r="B10" s="85"/>
      <c r="C10" s="86"/>
      <c r="D10" s="83"/>
      <c r="E10" s="78" t="s">
        <v>40</v>
      </c>
      <c r="F10" s="78" t="s">
        <v>40</v>
      </c>
    </row>
    <row r="11" spans="1:6" ht="15.75">
      <c r="A11" s="46"/>
      <c r="B11" s="85"/>
      <c r="C11" s="306" t="s">
        <v>40</v>
      </c>
      <c r="D11" s="306" t="s">
        <v>40</v>
      </c>
      <c r="E11" s="78" t="s">
        <v>158</v>
      </c>
      <c r="F11" s="78" t="s">
        <v>158</v>
      </c>
    </row>
    <row r="12" spans="1:6" ht="15.75">
      <c r="A12" s="46" t="s">
        <v>3</v>
      </c>
      <c r="B12" s="85"/>
      <c r="C12" s="306" t="s">
        <v>158</v>
      </c>
      <c r="D12" s="306" t="s">
        <v>158</v>
      </c>
      <c r="E12" s="83" t="s">
        <v>55</v>
      </c>
      <c r="F12" s="83" t="s">
        <v>55</v>
      </c>
    </row>
    <row r="13" spans="1:6" ht="15.75">
      <c r="A13" s="87" t="s">
        <v>5</v>
      </c>
      <c r="B13" s="88" t="s">
        <v>57</v>
      </c>
      <c r="C13" s="88" t="s">
        <v>62</v>
      </c>
      <c r="D13" s="87" t="s">
        <v>59</v>
      </c>
      <c r="E13" s="87" t="s">
        <v>60</v>
      </c>
      <c r="F13" s="87" t="s">
        <v>60</v>
      </c>
    </row>
    <row r="14" spans="1:6">
      <c r="A14" s="89"/>
      <c r="B14" s="89"/>
      <c r="C14" s="90"/>
      <c r="D14" s="310"/>
      <c r="E14" s="90"/>
      <c r="F14" s="90"/>
    </row>
    <row r="15" spans="1:6">
      <c r="A15" s="89">
        <f t="shared" ref="A15:A27" si="0">+A16-1</f>
        <v>2002</v>
      </c>
      <c r="B15" s="105">
        <f t="shared" ref="B15:B27" si="1">+B16+12</f>
        <v>180</v>
      </c>
      <c r="C15" s="127">
        <f>+'Exercise 12 - DCC Pd Pd LDFs'!S108</f>
        <v>0.17687319862719372</v>
      </c>
      <c r="D15" s="230"/>
      <c r="E15" s="229">
        <f>+C15*D15</f>
        <v>0</v>
      </c>
      <c r="F15" s="229">
        <f>+E15-C15</f>
        <v>-0.17687319862719372</v>
      </c>
    </row>
    <row r="16" spans="1:6">
      <c r="A16" s="89">
        <f t="shared" si="0"/>
        <v>2003</v>
      </c>
      <c r="B16" s="105">
        <f t="shared" si="1"/>
        <v>168</v>
      </c>
      <c r="C16" s="127">
        <f>+'Exercise 12 - DCC Pd Pd LDFs'!S109</f>
        <v>0.26243420700778619</v>
      </c>
      <c r="D16" s="230"/>
      <c r="E16" s="229">
        <f t="shared" ref="E16:E29" si="2">+C16*D16</f>
        <v>0</v>
      </c>
      <c r="F16" s="229">
        <f t="shared" ref="F16:F29" si="3">+E16-C16</f>
        <v>-0.26243420700778619</v>
      </c>
    </row>
    <row r="17" spans="1:6">
      <c r="A17" s="89">
        <f t="shared" si="0"/>
        <v>2004</v>
      </c>
      <c r="B17" s="105">
        <f t="shared" si="1"/>
        <v>156</v>
      </c>
      <c r="C17" s="127">
        <f>+'Exercise 12 - DCC Pd Pd LDFs'!S110</f>
        <v>0.18976802184824523</v>
      </c>
      <c r="D17" s="230"/>
      <c r="E17" s="229">
        <f t="shared" si="2"/>
        <v>0</v>
      </c>
      <c r="F17" s="229">
        <f t="shared" si="3"/>
        <v>-0.18976802184824523</v>
      </c>
    </row>
    <row r="18" spans="1:6">
      <c r="A18" s="89">
        <f t="shared" si="0"/>
        <v>2005</v>
      </c>
      <c r="B18" s="105">
        <f t="shared" si="1"/>
        <v>144</v>
      </c>
      <c r="C18" s="127">
        <f>+'Exercise 12 - DCC Pd Pd LDFs'!S111</f>
        <v>0.21874243009343428</v>
      </c>
      <c r="D18" s="230"/>
      <c r="E18" s="229">
        <f t="shared" si="2"/>
        <v>0</v>
      </c>
      <c r="F18" s="229">
        <f t="shared" si="3"/>
        <v>-0.21874243009343428</v>
      </c>
    </row>
    <row r="19" spans="1:6">
      <c r="A19" s="89">
        <f t="shared" si="0"/>
        <v>2006</v>
      </c>
      <c r="B19" s="105">
        <f t="shared" si="1"/>
        <v>132</v>
      </c>
      <c r="C19" s="127">
        <f>+'Exercise 12 - DCC Pd Pd LDFs'!S112</f>
        <v>0.22025091774508193</v>
      </c>
      <c r="D19" s="230"/>
      <c r="E19" s="229">
        <f t="shared" si="2"/>
        <v>0</v>
      </c>
      <c r="F19" s="229">
        <f t="shared" si="3"/>
        <v>-0.22025091774508193</v>
      </c>
    </row>
    <row r="20" spans="1:6">
      <c r="A20" s="89">
        <f t="shared" si="0"/>
        <v>2007</v>
      </c>
      <c r="B20" s="105">
        <f t="shared" si="1"/>
        <v>120</v>
      </c>
      <c r="C20" s="127">
        <f>+'Exercise 12 - DCC Pd Pd LDFs'!S113</f>
        <v>0.38312201040520227</v>
      </c>
      <c r="D20" s="230"/>
      <c r="E20" s="229">
        <f t="shared" si="2"/>
        <v>0</v>
      </c>
      <c r="F20" s="229">
        <f t="shared" si="3"/>
        <v>-0.38312201040520227</v>
      </c>
    </row>
    <row r="21" spans="1:6">
      <c r="A21" s="89">
        <f t="shared" si="0"/>
        <v>2008</v>
      </c>
      <c r="B21" s="105">
        <f t="shared" si="1"/>
        <v>108</v>
      </c>
      <c r="C21" s="127">
        <f>+'Exercise 12 - DCC Pd Pd LDFs'!S114</f>
        <v>0.55403284670948127</v>
      </c>
      <c r="D21" s="230"/>
      <c r="E21" s="229">
        <f t="shared" si="2"/>
        <v>0</v>
      </c>
      <c r="F21" s="229">
        <f t="shared" si="3"/>
        <v>-0.55403284670948127</v>
      </c>
    </row>
    <row r="22" spans="1:6">
      <c r="A22" s="89">
        <f t="shared" si="0"/>
        <v>2009</v>
      </c>
      <c r="B22" s="105">
        <f t="shared" si="1"/>
        <v>96</v>
      </c>
      <c r="C22" s="127">
        <f>+'Exercise 12 - DCC Pd Pd LDFs'!S115</f>
        <v>0.45719068155080067</v>
      </c>
      <c r="D22" s="230"/>
      <c r="E22" s="229">
        <f t="shared" si="2"/>
        <v>0</v>
      </c>
      <c r="F22" s="229">
        <f t="shared" si="3"/>
        <v>-0.45719068155080067</v>
      </c>
    </row>
    <row r="23" spans="1:6">
      <c r="A23" s="89">
        <f t="shared" si="0"/>
        <v>2010</v>
      </c>
      <c r="B23" s="105">
        <f t="shared" si="1"/>
        <v>84</v>
      </c>
      <c r="C23" s="127">
        <f>+'Exercise 12 - DCC Pd Pd LDFs'!S116</f>
        <v>0.33398214741752885</v>
      </c>
      <c r="D23" s="230"/>
      <c r="E23" s="229">
        <f t="shared" si="2"/>
        <v>0</v>
      </c>
      <c r="F23" s="229">
        <f t="shared" si="3"/>
        <v>-0.33398214741752885</v>
      </c>
    </row>
    <row r="24" spans="1:6">
      <c r="A24" s="89">
        <f t="shared" si="0"/>
        <v>2011</v>
      </c>
      <c r="B24" s="105">
        <f t="shared" si="1"/>
        <v>72</v>
      </c>
      <c r="C24" s="127">
        <f>+'Exercise 12 - DCC Pd Pd LDFs'!S117</f>
        <v>0.15998731558204765</v>
      </c>
      <c r="D24" s="230"/>
      <c r="E24" s="229">
        <f t="shared" si="2"/>
        <v>0</v>
      </c>
      <c r="F24" s="229">
        <f t="shared" si="3"/>
        <v>-0.15998731558204765</v>
      </c>
    </row>
    <row r="25" spans="1:6">
      <c r="A25" s="89">
        <f t="shared" si="0"/>
        <v>2012</v>
      </c>
      <c r="B25" s="105">
        <f t="shared" si="1"/>
        <v>60</v>
      </c>
      <c r="C25" s="127">
        <f>+'Exercise 12 - DCC Pd Pd LDFs'!S118</f>
        <v>0.25275324363947849</v>
      </c>
      <c r="D25" s="230"/>
      <c r="E25" s="229">
        <f t="shared" si="2"/>
        <v>0</v>
      </c>
      <c r="F25" s="229">
        <f t="shared" si="3"/>
        <v>-0.25275324363947849</v>
      </c>
    </row>
    <row r="26" spans="1:6">
      <c r="A26" s="89">
        <f t="shared" si="0"/>
        <v>2013</v>
      </c>
      <c r="B26" s="105">
        <f t="shared" si="1"/>
        <v>48</v>
      </c>
      <c r="C26" s="127">
        <f>+'Exercise 12 - DCC Pd Pd LDFs'!S119</f>
        <v>0.41636247840169366</v>
      </c>
      <c r="D26" s="230"/>
      <c r="E26" s="229">
        <f t="shared" si="2"/>
        <v>0</v>
      </c>
      <c r="F26" s="229">
        <f t="shared" si="3"/>
        <v>-0.41636247840169366</v>
      </c>
    </row>
    <row r="27" spans="1:6">
      <c r="A27" s="89">
        <f t="shared" si="0"/>
        <v>2014</v>
      </c>
      <c r="B27" s="105">
        <f t="shared" si="1"/>
        <v>36</v>
      </c>
      <c r="C27" s="127">
        <f>+'Exercise 12 - DCC Pd Pd LDFs'!S120</f>
        <v>0.33510473535790664</v>
      </c>
      <c r="D27" s="230"/>
      <c r="E27" s="229">
        <f t="shared" si="2"/>
        <v>0</v>
      </c>
      <c r="F27" s="229">
        <f t="shared" si="3"/>
        <v>-0.33510473535790664</v>
      </c>
    </row>
    <row r="28" spans="1:6">
      <c r="A28" s="89">
        <f>+'Exercise 12 - DCC Pd Pd LDFs'!A46-1</f>
        <v>2015</v>
      </c>
      <c r="B28" s="105">
        <f>+B29+12</f>
        <v>24</v>
      </c>
      <c r="C28" s="127">
        <f>+'Exercise 12 - DCC Pd Pd LDFs'!S121</f>
        <v>0.18574767021915187</v>
      </c>
      <c r="D28" s="230"/>
      <c r="E28" s="229">
        <f t="shared" si="2"/>
        <v>0</v>
      </c>
      <c r="F28" s="229">
        <f t="shared" si="3"/>
        <v>-0.18574767021915187</v>
      </c>
    </row>
    <row r="29" spans="1:6">
      <c r="B29" s="105">
        <v>12</v>
      </c>
      <c r="C29" s="127">
        <f>+'Exercise 12 - DCC Pd Pd LDFs'!S122</f>
        <v>0.11867491152017647</v>
      </c>
      <c r="D29" s="230"/>
      <c r="E29" s="229">
        <f t="shared" si="2"/>
        <v>0</v>
      </c>
      <c r="F29" s="229">
        <f t="shared" si="3"/>
        <v>-0.11867491152017647</v>
      </c>
    </row>
    <row r="30" spans="1:6">
      <c r="A30" s="89"/>
      <c r="B30" s="89"/>
      <c r="C30" s="107"/>
      <c r="D30" s="308"/>
      <c r="E30" s="107"/>
      <c r="F30" s="107"/>
    </row>
    <row r="31" spans="1:6">
      <c r="A31" s="97" t="s">
        <v>63</v>
      </c>
      <c r="B31" s="97"/>
      <c r="C31" s="108"/>
      <c r="D31" s="309"/>
      <c r="E31" s="108"/>
      <c r="F31" s="108"/>
    </row>
    <row r="32" spans="1:6">
      <c r="C32" s="109"/>
    </row>
    <row r="33" spans="1:2" ht="15.75">
      <c r="A33" s="100"/>
      <c r="B33" s="100"/>
    </row>
    <row r="34" spans="1:2" ht="15.75">
      <c r="A34" s="101"/>
      <c r="B34" s="101"/>
    </row>
    <row r="108" spans="2:5">
      <c r="B108">
        <f t="shared" ref="B108:B120" si="4">+B109+12</f>
        <v>180</v>
      </c>
      <c r="C108" s="244">
        <f>+'Exercise 12 - DCC Pd Pd LDFs'!S108</f>
        <v>0.17687319862719372</v>
      </c>
      <c r="D108" s="244">
        <f>+'Exercise 12 - DCC Pd Pd LDFs'!T108</f>
        <v>1</v>
      </c>
      <c r="E108" s="307">
        <f>+D108*C108</f>
        <v>0.17687319862719372</v>
      </c>
    </row>
    <row r="109" spans="2:5">
      <c r="B109">
        <f t="shared" si="4"/>
        <v>168</v>
      </c>
      <c r="C109" s="244">
        <f>+'Exercise 12 - DCC Pd Pd LDFs'!S109</f>
        <v>0.26243420700778619</v>
      </c>
      <c r="D109" s="244">
        <f>+'Exercise 12 - DCC Pd Pd LDFs'!T109</f>
        <v>1</v>
      </c>
      <c r="E109" s="307">
        <f t="shared" ref="E109:E122" si="5">+D109*C109</f>
        <v>0.26243420700778619</v>
      </c>
    </row>
    <row r="110" spans="2:5">
      <c r="B110">
        <f t="shared" si="4"/>
        <v>156</v>
      </c>
      <c r="C110" s="244">
        <f>+'Exercise 12 - DCC Pd Pd LDFs'!S110</f>
        <v>0.18976802184824523</v>
      </c>
      <c r="D110" s="244">
        <f>+'Exercise 12 - DCC Pd Pd LDFs'!T110</f>
        <v>1.002</v>
      </c>
      <c r="E110" s="307">
        <f t="shared" si="5"/>
        <v>0.19014755789194174</v>
      </c>
    </row>
    <row r="111" spans="2:5">
      <c r="B111">
        <f t="shared" si="4"/>
        <v>144</v>
      </c>
      <c r="C111" s="244">
        <f>+'Exercise 12 - DCC Pd Pd LDFs'!S111</f>
        <v>0.21874243009343428</v>
      </c>
      <c r="D111" s="244">
        <f>+'Exercise 12 - DCC Pd Pd LDFs'!T111</f>
        <v>0.95089799999999991</v>
      </c>
      <c r="E111" s="307">
        <f t="shared" si="5"/>
        <v>0.20800173929098645</v>
      </c>
    </row>
    <row r="112" spans="2:5">
      <c r="B112">
        <f t="shared" si="4"/>
        <v>132</v>
      </c>
      <c r="C112" s="244">
        <f>+'Exercise 12 - DCC Pd Pd LDFs'!S112</f>
        <v>0.22025091774508193</v>
      </c>
      <c r="D112" s="244">
        <f>+'Exercise 12 - DCC Pd Pd LDFs'!T112</f>
        <v>0.91191118199999988</v>
      </c>
      <c r="E112" s="307">
        <f t="shared" si="5"/>
        <v>0.20084927473750241</v>
      </c>
    </row>
    <row r="113" spans="2:5">
      <c r="B113">
        <f t="shared" si="4"/>
        <v>120</v>
      </c>
      <c r="C113" s="244">
        <f>+'Exercise 12 - DCC Pd Pd LDFs'!S113</f>
        <v>0.38312201040520227</v>
      </c>
      <c r="D113" s="244">
        <f>+'Exercise 12 - DCC Pd Pd LDFs'!T113</f>
        <v>0.82983917561999987</v>
      </c>
      <c r="E113" s="307">
        <f t="shared" si="5"/>
        <v>0.31792965327653006</v>
      </c>
    </row>
    <row r="114" spans="2:5">
      <c r="B114">
        <f t="shared" si="4"/>
        <v>108</v>
      </c>
      <c r="C114" s="244">
        <f>+'Exercise 12 - DCC Pd Pd LDFs'!S114</f>
        <v>0.55403284670948127</v>
      </c>
      <c r="D114" s="244">
        <f>+'Exercise 12 - DCC Pd Pd LDFs'!T114</f>
        <v>0.82900933644437991</v>
      </c>
      <c r="E114" s="307">
        <f t="shared" si="5"/>
        <v>0.45929840261901794</v>
      </c>
    </row>
    <row r="115" spans="2:5">
      <c r="B115">
        <f t="shared" si="4"/>
        <v>96</v>
      </c>
      <c r="C115" s="244">
        <f>+'Exercise 12 - DCC Pd Pd LDFs'!S115</f>
        <v>0.45719068155080067</v>
      </c>
      <c r="D115" s="244">
        <f>+'Exercise 12 - DCC Pd Pd LDFs'!T115</f>
        <v>0.79833599099593777</v>
      </c>
      <c r="E115" s="307">
        <f t="shared" si="5"/>
        <v>0.36499177582996667</v>
      </c>
    </row>
    <row r="116" spans="2:5">
      <c r="B116">
        <f t="shared" si="4"/>
        <v>84</v>
      </c>
      <c r="C116" s="244">
        <f>+'Exercise 12 - DCC Pd Pd LDFs'!S116</f>
        <v>0.33398214741752885</v>
      </c>
      <c r="D116" s="244">
        <f>+'Exercise 12 - DCC Pd Pd LDFs'!T116</f>
        <v>0.76161253541012464</v>
      </c>
      <c r="E116" s="307">
        <f t="shared" si="5"/>
        <v>0.25436499007638214</v>
      </c>
    </row>
    <row r="117" spans="2:5">
      <c r="B117">
        <f t="shared" si="4"/>
        <v>72</v>
      </c>
      <c r="C117" s="244">
        <f>+'Exercise 12 - DCC Pd Pd LDFs'!S117</f>
        <v>0.15998731558204765</v>
      </c>
      <c r="D117" s="244">
        <f>+'Exercise 12 - DCC Pd Pd LDFs'!T117</f>
        <v>0.74714189723733226</v>
      </c>
      <c r="E117" s="307">
        <f t="shared" si="5"/>
        <v>0.1195332264978789</v>
      </c>
    </row>
    <row r="118" spans="2:5">
      <c r="B118">
        <f t="shared" si="4"/>
        <v>60</v>
      </c>
      <c r="C118" s="244">
        <f>+'Exercise 12 - DCC Pd Pd LDFs'!S118</f>
        <v>0.25275324363947849</v>
      </c>
      <c r="D118" s="244">
        <f>+'Exercise 12 - DCC Pd Pd LDFs'!T118</f>
        <v>0.71277336996441498</v>
      </c>
      <c r="E118" s="307">
        <f t="shared" si="5"/>
        <v>0.18015578123834791</v>
      </c>
    </row>
    <row r="119" spans="2:5">
      <c r="B119">
        <f t="shared" si="4"/>
        <v>48</v>
      </c>
      <c r="C119" s="244">
        <f>+'Exercise 12 - DCC Pd Pd LDFs'!S119</f>
        <v>0.41636247840169366</v>
      </c>
      <c r="D119" s="244">
        <f>+'Exercise 12 - DCC Pd Pd LDFs'!T119</f>
        <v>0.72631606399373883</v>
      </c>
      <c r="E119" s="307">
        <f t="shared" si="5"/>
        <v>0.30241075650739624</v>
      </c>
    </row>
    <row r="120" spans="2:5">
      <c r="B120">
        <f t="shared" si="4"/>
        <v>36</v>
      </c>
      <c r="C120" s="244">
        <f>+'Exercise 12 - DCC Pd Pd LDFs'!S120</f>
        <v>0.33510473535790664</v>
      </c>
      <c r="D120" s="244">
        <f>+'Exercise 12 - DCC Pd Pd LDFs'!T120</f>
        <v>1.0466214482149776</v>
      </c>
      <c r="E120" s="307">
        <f t="shared" si="5"/>
        <v>0.35072780342398907</v>
      </c>
    </row>
    <row r="121" spans="2:5">
      <c r="B121">
        <f>+B122+12</f>
        <v>24</v>
      </c>
      <c r="C121" s="244">
        <f>+'Exercise 12 - DCC Pd Pd LDFs'!S121</f>
        <v>0.18574767021915187</v>
      </c>
      <c r="D121" s="244">
        <f>+'Exercise 12 - DCC Pd Pd LDFs'!T121</f>
        <v>2.0660307387763659</v>
      </c>
      <c r="E121" s="307">
        <f t="shared" si="5"/>
        <v>0.38376039632886311</v>
      </c>
    </row>
    <row r="122" spans="2:5">
      <c r="B122">
        <v>12</v>
      </c>
      <c r="C122" s="244">
        <f>+'Exercise 12 - DCC Pd Pd LDFs'!S122</f>
        <v>0.11867491152017647</v>
      </c>
      <c r="D122" s="244">
        <f>+'Exercise 12 - DCC Pd Pd LDFs'!T122</f>
        <v>3.1052442003808776</v>
      </c>
      <c r="E122" s="307">
        <f t="shared" si="5"/>
        <v>0.36851458072874177</v>
      </c>
    </row>
  </sheetData>
  <conditionalFormatting sqref="D15:D29">
    <cfRule type="cellIs" dxfId="4" priority="1" operator="notEqual">
      <formula>D108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F124"/>
  <sheetViews>
    <sheetView showGridLines="0" topLeftCell="A9" zoomScale="118" zoomScaleNormal="118" workbookViewId="0">
      <selection activeCell="F9" sqref="F1:F1048576"/>
    </sheetView>
  </sheetViews>
  <sheetFormatPr defaultRowHeight="12.75"/>
  <cols>
    <col min="1" max="2" width="13.42578125" customWidth="1"/>
    <col min="3" max="3" width="14.85546875" customWidth="1"/>
    <col min="4" max="4" width="14.140625" customWidth="1"/>
    <col min="5" max="5" width="17.7109375" customWidth="1"/>
    <col min="6" max="6" width="17.5703125" customWidth="1"/>
    <col min="7" max="9" width="10" customWidth="1"/>
    <col min="10" max="10" width="14.140625" customWidth="1"/>
  </cols>
  <sheetData>
    <row r="1" spans="1:6" ht="15.75">
      <c r="A1" s="203" t="s">
        <v>0</v>
      </c>
      <c r="B1" s="73"/>
    </row>
    <row r="2" spans="1:6" ht="15.75">
      <c r="A2" s="204" t="str">
        <f>+"Analysis of Loss &amp; DCC Reserves as of "&amp;TEXT(EvalDate,"mm/dd/yyy")</f>
        <v>Analysis of Loss &amp; DCC Reserves as of 12/31/2016</v>
      </c>
      <c r="B2" s="73"/>
    </row>
    <row r="3" spans="1:6" ht="15.75">
      <c r="A3" s="205" t="str">
        <f>+LOB</f>
        <v>Liability</v>
      </c>
      <c r="B3" s="73"/>
    </row>
    <row r="5" spans="1:6" ht="15.75">
      <c r="A5" s="104" t="s">
        <v>134</v>
      </c>
      <c r="B5" s="73"/>
    </row>
    <row r="6" spans="1:6" ht="15.75">
      <c r="A6" s="73"/>
      <c r="B6" s="73"/>
    </row>
    <row r="7" spans="1:6" ht="15.75">
      <c r="A7" s="73"/>
      <c r="B7" s="73"/>
    </row>
    <row r="8" spans="1:6" ht="15.75">
      <c r="A8" s="73"/>
      <c r="B8" s="73"/>
    </row>
    <row r="9" spans="1:6" ht="15.75">
      <c r="A9" s="73"/>
      <c r="B9" s="74"/>
      <c r="C9" s="75"/>
      <c r="D9" s="76"/>
      <c r="E9" s="76"/>
      <c r="F9" s="76"/>
    </row>
    <row r="10" spans="1:6" ht="15.75">
      <c r="A10" s="73"/>
      <c r="B10" s="78" t="s">
        <v>45</v>
      </c>
      <c r="C10" s="79" t="s">
        <v>46</v>
      </c>
      <c r="D10" s="79" t="s">
        <v>47</v>
      </c>
      <c r="E10" s="79" t="s">
        <v>48</v>
      </c>
      <c r="F10" s="79" t="s">
        <v>49</v>
      </c>
    </row>
    <row r="11" spans="1:6" ht="15.75">
      <c r="A11" s="40"/>
      <c r="B11" s="81"/>
      <c r="C11" s="82"/>
      <c r="D11" s="83"/>
      <c r="E11" s="84"/>
      <c r="F11" s="84"/>
    </row>
    <row r="12" spans="1:6" ht="15.75">
      <c r="A12" s="46"/>
      <c r="B12" s="85"/>
      <c r="C12" s="86"/>
      <c r="D12" s="83"/>
      <c r="E12" s="78" t="s">
        <v>40</v>
      </c>
      <c r="F12" s="78" t="s">
        <v>40</v>
      </c>
    </row>
    <row r="13" spans="1:6" ht="15.75">
      <c r="A13" s="46"/>
      <c r="B13" s="85"/>
      <c r="C13" s="306" t="s">
        <v>40</v>
      </c>
      <c r="D13" s="306" t="s">
        <v>40</v>
      </c>
      <c r="E13" s="78" t="s">
        <v>158</v>
      </c>
      <c r="F13" s="78" t="s">
        <v>158</v>
      </c>
    </row>
    <row r="14" spans="1:6" ht="15.75">
      <c r="A14" s="46" t="s">
        <v>3</v>
      </c>
      <c r="B14" s="85"/>
      <c r="C14" s="306" t="s">
        <v>158</v>
      </c>
      <c r="D14" s="306" t="s">
        <v>158</v>
      </c>
      <c r="E14" s="83" t="s">
        <v>55</v>
      </c>
      <c r="F14" s="83" t="s">
        <v>55</v>
      </c>
    </row>
    <row r="15" spans="1:6" ht="15.75">
      <c r="A15" s="87" t="s">
        <v>5</v>
      </c>
      <c r="B15" s="88" t="s">
        <v>57</v>
      </c>
      <c r="C15" s="88" t="s">
        <v>62</v>
      </c>
      <c r="D15" s="87" t="s">
        <v>59</v>
      </c>
      <c r="E15" s="87" t="s">
        <v>60</v>
      </c>
      <c r="F15" s="87" t="s">
        <v>60</v>
      </c>
    </row>
    <row r="16" spans="1:6">
      <c r="A16" s="89"/>
      <c r="B16" s="89"/>
      <c r="C16" s="90"/>
      <c r="D16" s="310"/>
      <c r="E16" s="90"/>
      <c r="F16" s="90"/>
    </row>
    <row r="17" spans="1:6">
      <c r="A17" s="89">
        <f t="shared" ref="A17:A29" si="0">+A18-1</f>
        <v>2002</v>
      </c>
      <c r="B17" s="105">
        <f t="shared" ref="B17:B29" si="1">+B18+12</f>
        <v>180</v>
      </c>
      <c r="C17" s="127">
        <f>+'Exercise 12 - DCC Pd Pd LDFs'!S108</f>
        <v>0.17687319862719372</v>
      </c>
      <c r="D17" s="230">
        <f>+'Exercise 12 - DCC Pd Pd LDFs'!T108</f>
        <v>1</v>
      </c>
      <c r="E17" s="229">
        <f>+C17*D17</f>
        <v>0.17687319862719372</v>
      </c>
      <c r="F17" s="229">
        <f>+E17-C17</f>
        <v>0</v>
      </c>
    </row>
    <row r="18" spans="1:6">
      <c r="A18" s="89">
        <f t="shared" si="0"/>
        <v>2003</v>
      </c>
      <c r="B18" s="105">
        <f t="shared" si="1"/>
        <v>168</v>
      </c>
      <c r="C18" s="127">
        <f>+'Exercise 12 - DCC Pd Pd LDFs'!S109</f>
        <v>0.26243420700778619</v>
      </c>
      <c r="D18" s="230">
        <f>+'Exercise 12 - DCC Pd Pd LDFs'!T109</f>
        <v>1</v>
      </c>
      <c r="E18" s="229">
        <f t="shared" ref="E18:F31" si="2">+C18*D18</f>
        <v>0.26243420700778619</v>
      </c>
      <c r="F18" s="229">
        <f t="shared" ref="F18:F31" si="3">+E18-C18</f>
        <v>0</v>
      </c>
    </row>
    <row r="19" spans="1:6">
      <c r="A19" s="89">
        <f t="shared" si="0"/>
        <v>2004</v>
      </c>
      <c r="B19" s="105">
        <f t="shared" si="1"/>
        <v>156</v>
      </c>
      <c r="C19" s="127">
        <f>+'Exercise 12 - DCC Pd Pd LDFs'!S110</f>
        <v>0.18976802184824523</v>
      </c>
      <c r="D19" s="230">
        <f>+'Exercise 12 - DCC Pd Pd LDFs'!T110</f>
        <v>1.002</v>
      </c>
      <c r="E19" s="229">
        <f t="shared" si="2"/>
        <v>0.19014755789194174</v>
      </c>
      <c r="F19" s="229">
        <f t="shared" si="3"/>
        <v>3.7953604369650451E-4</v>
      </c>
    </row>
    <row r="20" spans="1:6">
      <c r="A20" s="89">
        <f t="shared" si="0"/>
        <v>2005</v>
      </c>
      <c r="B20" s="105">
        <f t="shared" si="1"/>
        <v>144</v>
      </c>
      <c r="C20" s="127">
        <f>+'Exercise 12 - DCC Pd Pd LDFs'!S111</f>
        <v>0.21874243009343428</v>
      </c>
      <c r="D20" s="230">
        <f>+'Exercise 12 - DCC Pd Pd LDFs'!T111</f>
        <v>0.95089799999999991</v>
      </c>
      <c r="E20" s="229">
        <f t="shared" si="2"/>
        <v>0.20800173929098645</v>
      </c>
      <c r="F20" s="229">
        <f t="shared" si="3"/>
        <v>-1.0740690802447828E-2</v>
      </c>
    </row>
    <row r="21" spans="1:6">
      <c r="A21" s="89">
        <f t="shared" si="0"/>
        <v>2006</v>
      </c>
      <c r="B21" s="105">
        <f t="shared" si="1"/>
        <v>132</v>
      </c>
      <c r="C21" s="127">
        <f>+'Exercise 12 - DCC Pd Pd LDFs'!S112</f>
        <v>0.22025091774508193</v>
      </c>
      <c r="D21" s="230">
        <f>+'Exercise 12 - DCC Pd Pd LDFs'!T112</f>
        <v>0.91191118199999988</v>
      </c>
      <c r="E21" s="229">
        <f t="shared" si="2"/>
        <v>0.20084927473750241</v>
      </c>
      <c r="F21" s="229">
        <f t="shared" si="3"/>
        <v>-1.9401643007579517E-2</v>
      </c>
    </row>
    <row r="22" spans="1:6">
      <c r="A22" s="89">
        <f t="shared" si="0"/>
        <v>2007</v>
      </c>
      <c r="B22" s="105">
        <f t="shared" si="1"/>
        <v>120</v>
      </c>
      <c r="C22" s="127">
        <f>+'Exercise 12 - DCC Pd Pd LDFs'!S113</f>
        <v>0.38312201040520227</v>
      </c>
      <c r="D22" s="230">
        <f>+'Exercise 12 - DCC Pd Pd LDFs'!T113</f>
        <v>0.82983917561999987</v>
      </c>
      <c r="E22" s="229">
        <f t="shared" si="2"/>
        <v>0.31792965327653006</v>
      </c>
      <c r="F22" s="229">
        <f t="shared" si="3"/>
        <v>-6.5192357128672218E-2</v>
      </c>
    </row>
    <row r="23" spans="1:6">
      <c r="A23" s="89">
        <f t="shared" si="0"/>
        <v>2008</v>
      </c>
      <c r="B23" s="105">
        <f t="shared" si="1"/>
        <v>108</v>
      </c>
      <c r="C23" s="127">
        <f>+'Exercise 12 - DCC Pd Pd LDFs'!S114</f>
        <v>0.55403284670948127</v>
      </c>
      <c r="D23" s="230">
        <f>+'Exercise 12 - DCC Pd Pd LDFs'!T114</f>
        <v>0.82900933644437991</v>
      </c>
      <c r="E23" s="229">
        <f t="shared" si="2"/>
        <v>0.45929840261901794</v>
      </c>
      <c r="F23" s="229">
        <f t="shared" si="3"/>
        <v>-9.4734444090463332E-2</v>
      </c>
    </row>
    <row r="24" spans="1:6">
      <c r="A24" s="89">
        <f t="shared" si="0"/>
        <v>2009</v>
      </c>
      <c r="B24" s="105">
        <f t="shared" si="1"/>
        <v>96</v>
      </c>
      <c r="C24" s="127">
        <f>+'Exercise 12 - DCC Pd Pd LDFs'!S115</f>
        <v>0.45719068155080067</v>
      </c>
      <c r="D24" s="230">
        <f>+'Exercise 12 - DCC Pd Pd LDFs'!T115</f>
        <v>0.79833599099593777</v>
      </c>
      <c r="E24" s="229">
        <f t="shared" si="2"/>
        <v>0.36499177582996667</v>
      </c>
      <c r="F24" s="229">
        <f t="shared" si="3"/>
        <v>-9.2198905720834001E-2</v>
      </c>
    </row>
    <row r="25" spans="1:6">
      <c r="A25" s="89">
        <f t="shared" si="0"/>
        <v>2010</v>
      </c>
      <c r="B25" s="105">
        <f t="shared" si="1"/>
        <v>84</v>
      </c>
      <c r="C25" s="127">
        <f>+'Exercise 12 - DCC Pd Pd LDFs'!S116</f>
        <v>0.33398214741752885</v>
      </c>
      <c r="D25" s="230">
        <f>+'Exercise 12 - DCC Pd Pd LDFs'!T116</f>
        <v>0.76161253541012464</v>
      </c>
      <c r="E25" s="229">
        <f t="shared" si="2"/>
        <v>0.25436499007638214</v>
      </c>
      <c r="F25" s="229">
        <f t="shared" si="3"/>
        <v>-7.9617157341146716E-2</v>
      </c>
    </row>
    <row r="26" spans="1:6">
      <c r="A26" s="89">
        <f t="shared" si="0"/>
        <v>2011</v>
      </c>
      <c r="B26" s="105">
        <f t="shared" si="1"/>
        <v>72</v>
      </c>
      <c r="C26" s="127">
        <f>+'Exercise 12 - DCC Pd Pd LDFs'!S117</f>
        <v>0.15998731558204765</v>
      </c>
      <c r="D26" s="230">
        <f>+'Exercise 12 - DCC Pd Pd LDFs'!T117</f>
        <v>0.74714189723733226</v>
      </c>
      <c r="E26" s="229">
        <f t="shared" si="2"/>
        <v>0.1195332264978789</v>
      </c>
      <c r="F26" s="229">
        <f t="shared" si="3"/>
        <v>-4.0454089084168754E-2</v>
      </c>
    </row>
    <row r="27" spans="1:6">
      <c r="A27" s="89">
        <f t="shared" si="0"/>
        <v>2012</v>
      </c>
      <c r="B27" s="105">
        <f t="shared" si="1"/>
        <v>60</v>
      </c>
      <c r="C27" s="127">
        <f>+'Exercise 12 - DCC Pd Pd LDFs'!S118</f>
        <v>0.25275324363947849</v>
      </c>
      <c r="D27" s="230">
        <f>+'Exercise 12 - DCC Pd Pd LDFs'!T118</f>
        <v>0.71277336996441498</v>
      </c>
      <c r="E27" s="229">
        <f t="shared" si="2"/>
        <v>0.18015578123834791</v>
      </c>
      <c r="F27" s="229">
        <f t="shared" si="3"/>
        <v>-7.2597462401130575E-2</v>
      </c>
    </row>
    <row r="28" spans="1:6">
      <c r="A28" s="89">
        <f t="shared" si="0"/>
        <v>2013</v>
      </c>
      <c r="B28" s="105">
        <f t="shared" si="1"/>
        <v>48</v>
      </c>
      <c r="C28" s="127">
        <f>+'Exercise 12 - DCC Pd Pd LDFs'!S119</f>
        <v>0.41636247840169366</v>
      </c>
      <c r="D28" s="230">
        <f>+'Exercise 12 - DCC Pd Pd LDFs'!T119</f>
        <v>0.72631606399373883</v>
      </c>
      <c r="E28" s="229">
        <f t="shared" si="2"/>
        <v>0.30241075650739624</v>
      </c>
      <c r="F28" s="229">
        <f t="shared" si="3"/>
        <v>-0.11395172189429742</v>
      </c>
    </row>
    <row r="29" spans="1:6">
      <c r="A29" s="89">
        <f t="shared" si="0"/>
        <v>2014</v>
      </c>
      <c r="B29" s="105">
        <f t="shared" si="1"/>
        <v>36</v>
      </c>
      <c r="C29" s="127">
        <f>+'Exercise 12 - DCC Pd Pd LDFs'!S120</f>
        <v>0.33510473535790664</v>
      </c>
      <c r="D29" s="230">
        <f>+'Exercise 12 - DCC Pd Pd LDFs'!T120</f>
        <v>1.0466214482149776</v>
      </c>
      <c r="E29" s="229">
        <f t="shared" si="2"/>
        <v>0.35072780342398907</v>
      </c>
      <c r="F29" s="229">
        <f t="shared" si="3"/>
        <v>1.5623068066082435E-2</v>
      </c>
    </row>
    <row r="30" spans="1:6">
      <c r="A30" s="89">
        <f>+'Exercise 12 - DCC Pd Pd LDFs'!A46-1</f>
        <v>2015</v>
      </c>
      <c r="B30" s="105">
        <f>+B31+12</f>
        <v>24</v>
      </c>
      <c r="C30" s="127">
        <f>+'Exercise 12 - DCC Pd Pd LDFs'!S121</f>
        <v>0.18574767021915187</v>
      </c>
      <c r="D30" s="230">
        <f>+'Exercise 12 - DCC Pd Pd LDFs'!T121</f>
        <v>2.0660307387763659</v>
      </c>
      <c r="E30" s="229">
        <f t="shared" si="2"/>
        <v>0.38376039632886311</v>
      </c>
      <c r="F30" s="229">
        <f t="shared" si="3"/>
        <v>0.19801272610971124</v>
      </c>
    </row>
    <row r="31" spans="1:6">
      <c r="B31" s="105">
        <v>12</v>
      </c>
      <c r="C31" s="127">
        <f>+'Exercise 12 - DCC Pd Pd LDFs'!S122</f>
        <v>0.11867491152017647</v>
      </c>
      <c r="D31" s="230">
        <f>+'Exercise 12 - DCC Pd Pd LDFs'!T122</f>
        <v>3.1052442003808776</v>
      </c>
      <c r="E31" s="229">
        <f t="shared" si="2"/>
        <v>0.36851458072874177</v>
      </c>
      <c r="F31" s="229">
        <f t="shared" si="3"/>
        <v>0.24983966920856532</v>
      </c>
    </row>
    <row r="32" spans="1:6">
      <c r="A32" s="89"/>
      <c r="B32" s="89"/>
      <c r="C32" s="107"/>
      <c r="D32" s="308"/>
      <c r="E32" s="107"/>
      <c r="F32" s="107"/>
    </row>
    <row r="33" spans="1:6">
      <c r="A33" s="97" t="s">
        <v>63</v>
      </c>
      <c r="B33" s="97"/>
      <c r="C33" s="108"/>
      <c r="D33" s="309"/>
      <c r="E33" s="108"/>
      <c r="F33" s="108"/>
    </row>
    <row r="34" spans="1:6">
      <c r="C34" s="109"/>
    </row>
    <row r="35" spans="1:6" ht="15.75">
      <c r="A35" s="100"/>
      <c r="B35" s="100"/>
    </row>
    <row r="36" spans="1:6" ht="15.75">
      <c r="A36" s="101"/>
      <c r="B36" s="101"/>
    </row>
    <row r="110" spans="2:5">
      <c r="B110">
        <f t="shared" ref="B110:B122" si="4">+B111+12</f>
        <v>180</v>
      </c>
      <c r="C110" s="244">
        <f>+'Exercise 12 - DCC Pd Pd LDFs'!S108</f>
        <v>0.17687319862719372</v>
      </c>
      <c r="D110" s="244">
        <f>+'Exercise 12 - DCC Pd Pd LDFs'!T108</f>
        <v>1</v>
      </c>
      <c r="E110" s="307">
        <f>+D110*C110</f>
        <v>0.17687319862719372</v>
      </c>
    </row>
    <row r="111" spans="2:5">
      <c r="B111">
        <f t="shared" si="4"/>
        <v>168</v>
      </c>
      <c r="C111" s="244">
        <f>+'Exercise 12 - DCC Pd Pd LDFs'!S109</f>
        <v>0.26243420700778619</v>
      </c>
      <c r="D111" s="244">
        <f>+'Exercise 12 - DCC Pd Pd LDFs'!T109</f>
        <v>1</v>
      </c>
      <c r="E111" s="307">
        <f t="shared" ref="E111:E124" si="5">+D111*C111</f>
        <v>0.26243420700778619</v>
      </c>
    </row>
    <row r="112" spans="2:5">
      <c r="B112">
        <f t="shared" si="4"/>
        <v>156</v>
      </c>
      <c r="C112" s="244">
        <f>+'Exercise 12 - DCC Pd Pd LDFs'!S110</f>
        <v>0.18976802184824523</v>
      </c>
      <c r="D112" s="244">
        <f>+'Exercise 12 - DCC Pd Pd LDFs'!T110</f>
        <v>1.002</v>
      </c>
      <c r="E112" s="307">
        <f t="shared" si="5"/>
        <v>0.19014755789194174</v>
      </c>
    </row>
    <row r="113" spans="2:5">
      <c r="B113">
        <f t="shared" si="4"/>
        <v>144</v>
      </c>
      <c r="C113" s="244">
        <f>+'Exercise 12 - DCC Pd Pd LDFs'!S111</f>
        <v>0.21874243009343428</v>
      </c>
      <c r="D113" s="244">
        <f>+'Exercise 12 - DCC Pd Pd LDFs'!T111</f>
        <v>0.95089799999999991</v>
      </c>
      <c r="E113" s="307">
        <f t="shared" si="5"/>
        <v>0.20800173929098645</v>
      </c>
    </row>
    <row r="114" spans="2:5">
      <c r="B114">
        <f t="shared" si="4"/>
        <v>132</v>
      </c>
      <c r="C114" s="244">
        <f>+'Exercise 12 - DCC Pd Pd LDFs'!S112</f>
        <v>0.22025091774508193</v>
      </c>
      <c r="D114" s="244">
        <f>+'Exercise 12 - DCC Pd Pd LDFs'!T112</f>
        <v>0.91191118199999988</v>
      </c>
      <c r="E114" s="307">
        <f t="shared" si="5"/>
        <v>0.20084927473750241</v>
      </c>
    </row>
    <row r="115" spans="2:5">
      <c r="B115">
        <f t="shared" si="4"/>
        <v>120</v>
      </c>
      <c r="C115" s="244">
        <f>+'Exercise 12 - DCC Pd Pd LDFs'!S113</f>
        <v>0.38312201040520227</v>
      </c>
      <c r="D115" s="244">
        <f>+'Exercise 12 - DCC Pd Pd LDFs'!T113</f>
        <v>0.82983917561999987</v>
      </c>
      <c r="E115" s="307">
        <f t="shared" si="5"/>
        <v>0.31792965327653006</v>
      </c>
    </row>
    <row r="116" spans="2:5">
      <c r="B116">
        <f t="shared" si="4"/>
        <v>108</v>
      </c>
      <c r="C116" s="244">
        <f>+'Exercise 12 - DCC Pd Pd LDFs'!S114</f>
        <v>0.55403284670948127</v>
      </c>
      <c r="D116" s="244">
        <f>+'Exercise 12 - DCC Pd Pd LDFs'!T114</f>
        <v>0.82900933644437991</v>
      </c>
      <c r="E116" s="307">
        <f t="shared" si="5"/>
        <v>0.45929840261901794</v>
      </c>
    </row>
    <row r="117" spans="2:5">
      <c r="B117">
        <f t="shared" si="4"/>
        <v>96</v>
      </c>
      <c r="C117" s="244">
        <f>+'Exercise 12 - DCC Pd Pd LDFs'!S115</f>
        <v>0.45719068155080067</v>
      </c>
      <c r="D117" s="244">
        <f>+'Exercise 12 - DCC Pd Pd LDFs'!T115</f>
        <v>0.79833599099593777</v>
      </c>
      <c r="E117" s="307">
        <f t="shared" si="5"/>
        <v>0.36499177582996667</v>
      </c>
    </row>
    <row r="118" spans="2:5">
      <c r="B118">
        <f t="shared" si="4"/>
        <v>84</v>
      </c>
      <c r="C118" s="244">
        <f>+'Exercise 12 - DCC Pd Pd LDFs'!S116</f>
        <v>0.33398214741752885</v>
      </c>
      <c r="D118" s="244">
        <f>+'Exercise 12 - DCC Pd Pd LDFs'!T116</f>
        <v>0.76161253541012464</v>
      </c>
      <c r="E118" s="307">
        <f t="shared" si="5"/>
        <v>0.25436499007638214</v>
      </c>
    </row>
    <row r="119" spans="2:5">
      <c r="B119">
        <f t="shared" si="4"/>
        <v>72</v>
      </c>
      <c r="C119" s="244">
        <f>+'Exercise 12 - DCC Pd Pd LDFs'!S117</f>
        <v>0.15998731558204765</v>
      </c>
      <c r="D119" s="244">
        <f>+'Exercise 12 - DCC Pd Pd LDFs'!T117</f>
        <v>0.74714189723733226</v>
      </c>
      <c r="E119" s="307">
        <f t="shared" si="5"/>
        <v>0.1195332264978789</v>
      </c>
    </row>
    <row r="120" spans="2:5">
      <c r="B120">
        <f t="shared" si="4"/>
        <v>60</v>
      </c>
      <c r="C120" s="244">
        <f>+'Exercise 12 - DCC Pd Pd LDFs'!S118</f>
        <v>0.25275324363947849</v>
      </c>
      <c r="D120" s="244">
        <f>+'Exercise 12 - DCC Pd Pd LDFs'!T118</f>
        <v>0.71277336996441498</v>
      </c>
      <c r="E120" s="307">
        <f t="shared" si="5"/>
        <v>0.18015578123834791</v>
      </c>
    </row>
    <row r="121" spans="2:5">
      <c r="B121">
        <f t="shared" si="4"/>
        <v>48</v>
      </c>
      <c r="C121" s="244">
        <f>+'Exercise 12 - DCC Pd Pd LDFs'!S119</f>
        <v>0.41636247840169366</v>
      </c>
      <c r="D121" s="244">
        <f>+'Exercise 12 - DCC Pd Pd LDFs'!T119</f>
        <v>0.72631606399373883</v>
      </c>
      <c r="E121" s="307">
        <f t="shared" si="5"/>
        <v>0.30241075650739624</v>
      </c>
    </row>
    <row r="122" spans="2:5">
      <c r="B122">
        <f t="shared" si="4"/>
        <v>36</v>
      </c>
      <c r="C122" s="244">
        <f>+'Exercise 12 - DCC Pd Pd LDFs'!S120</f>
        <v>0.33510473535790664</v>
      </c>
      <c r="D122" s="244">
        <f>+'Exercise 12 - DCC Pd Pd LDFs'!T120</f>
        <v>1.0466214482149776</v>
      </c>
      <c r="E122" s="307">
        <f t="shared" si="5"/>
        <v>0.35072780342398907</v>
      </c>
    </row>
    <row r="123" spans="2:5">
      <c r="B123">
        <f>+B124+12</f>
        <v>24</v>
      </c>
      <c r="C123" s="244">
        <f>+'Exercise 12 - DCC Pd Pd LDFs'!S121</f>
        <v>0.18574767021915187</v>
      </c>
      <c r="D123" s="244">
        <f>+'Exercise 12 - DCC Pd Pd LDFs'!T121</f>
        <v>2.0660307387763659</v>
      </c>
      <c r="E123" s="307">
        <f t="shared" si="5"/>
        <v>0.38376039632886311</v>
      </c>
    </row>
    <row r="124" spans="2:5">
      <c r="B124">
        <v>12</v>
      </c>
      <c r="C124" s="244">
        <f>+'Exercise 12 - DCC Pd Pd LDFs'!S122</f>
        <v>0.11867491152017647</v>
      </c>
      <c r="D124" s="244">
        <f>+'Exercise 12 - DCC Pd Pd LDFs'!T122</f>
        <v>3.1052442003808776</v>
      </c>
      <c r="E124" s="307">
        <f t="shared" si="5"/>
        <v>0.36851458072874177</v>
      </c>
    </row>
  </sheetData>
  <conditionalFormatting sqref="D17:D31">
    <cfRule type="cellIs" dxfId="5" priority="1" operator="notEqual">
      <formula>D110</formula>
    </cfRule>
  </conditionalFormatting>
  <pageMargins left="0.7" right="0.7" top="0.75" bottom="0.75" header="0.3" footer="0.3"/>
  <ignoredErrors>
    <ignoredError sqref="B10:F10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A1:Q123"/>
  <sheetViews>
    <sheetView showGridLines="0" workbookViewId="0">
      <selection activeCell="F11" sqref="F11"/>
    </sheetView>
  </sheetViews>
  <sheetFormatPr defaultColWidth="10" defaultRowHeight="15"/>
  <cols>
    <col min="1" max="1" width="11.5703125" style="45" customWidth="1"/>
    <col min="2" max="16" width="11.140625" style="37" customWidth="1"/>
    <col min="17" max="17" width="2.7109375" style="37" customWidth="1"/>
    <col min="18" max="16384" width="10" style="37"/>
  </cols>
  <sheetData>
    <row r="1" spans="1:17" ht="15.75">
      <c r="A1" s="203" t="s">
        <v>0</v>
      </c>
    </row>
    <row r="2" spans="1:17" ht="15.75">
      <c r="A2" s="204" t="str">
        <f>+"Analysis of Loss &amp; DCC Reserves as of "&amp;TEXT(EvalDate,"mm/dd/yyy")</f>
        <v>Analysis of Loss &amp; DCC Reserves as of 12/31/2016</v>
      </c>
    </row>
    <row r="3" spans="1:17" ht="15.75">
      <c r="A3" s="205" t="str">
        <f>+LOB</f>
        <v>Liability</v>
      </c>
    </row>
    <row r="5" spans="1:17">
      <c r="A5" s="228" t="s">
        <v>133</v>
      </c>
    </row>
    <row r="7" spans="1:17">
      <c r="A7" s="40" t="str">
        <f>'[1]Exercise 6 - Paid-Ldfs'!$A$10</f>
        <v>Accident</v>
      </c>
      <c r="B7" s="41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</row>
    <row r="8" spans="1:17" s="45" customFormat="1">
      <c r="A8" s="43" t="s">
        <v>5</v>
      </c>
      <c r="B8" s="44">
        <v>12</v>
      </c>
      <c r="C8" s="44">
        <f t="shared" ref="C8:P8" si="0">B8+12</f>
        <v>24</v>
      </c>
      <c r="D8" s="44">
        <f t="shared" si="0"/>
        <v>36</v>
      </c>
      <c r="E8" s="44">
        <f t="shared" si="0"/>
        <v>48</v>
      </c>
      <c r="F8" s="44">
        <f t="shared" si="0"/>
        <v>60</v>
      </c>
      <c r="G8" s="44">
        <f t="shared" si="0"/>
        <v>72</v>
      </c>
      <c r="H8" s="44">
        <f t="shared" si="0"/>
        <v>84</v>
      </c>
      <c r="I8" s="44">
        <f t="shared" si="0"/>
        <v>96</v>
      </c>
      <c r="J8" s="44">
        <f t="shared" si="0"/>
        <v>108</v>
      </c>
      <c r="K8" s="44">
        <f t="shared" si="0"/>
        <v>120</v>
      </c>
      <c r="L8" s="44">
        <f t="shared" si="0"/>
        <v>132</v>
      </c>
      <c r="M8" s="44">
        <f t="shared" si="0"/>
        <v>144</v>
      </c>
      <c r="N8" s="44">
        <f t="shared" si="0"/>
        <v>156</v>
      </c>
      <c r="O8" s="44">
        <f t="shared" si="0"/>
        <v>168</v>
      </c>
      <c r="P8" s="44">
        <f t="shared" si="0"/>
        <v>180</v>
      </c>
    </row>
    <row r="9" spans="1:17">
      <c r="A9" s="85"/>
      <c r="B9" s="341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8"/>
    </row>
    <row r="10" spans="1:17">
      <c r="A10" s="124">
        <f t="shared" ref="A10:A22" si="1">+A11-1</f>
        <v>2002</v>
      </c>
      <c r="B10" s="342">
        <f>+'Exercise 6 - Paid LDFs'!B10/'Exercise 6 Inc LDFs'!B13</f>
        <v>0.15696155174404697</v>
      </c>
      <c r="C10" s="339">
        <f>+'Exercise 6 - Paid LDFs'!C10/'Exercise 6 Inc LDFs'!C13</f>
        <v>0.3252115086121054</v>
      </c>
      <c r="D10" s="339">
        <f>+'Exercise 6 - Paid LDFs'!D10/'Exercise 6 Inc LDFs'!D13</f>
        <v>0.56444678680978222</v>
      </c>
      <c r="E10" s="339">
        <f>+'Exercise 6 - Paid LDFs'!E10/'Exercise 6 Inc LDFs'!E13</f>
        <v>0.72399773126653599</v>
      </c>
      <c r="F10" s="339">
        <f>+'Exercise 6 - Paid LDFs'!F10/'Exercise 6 Inc LDFs'!F13</f>
        <v>0.84151632863784553</v>
      </c>
      <c r="G10" s="339">
        <f>+'Exercise 6 - Paid LDFs'!G10/'Exercise 6 Inc LDFs'!G13</f>
        <v>0.90608712092056476</v>
      </c>
      <c r="H10" s="339">
        <f>+'Exercise 6 - Paid LDFs'!H10/'Exercise 6 Inc LDFs'!H13</f>
        <v>0.94213589072313175</v>
      </c>
      <c r="I10" s="339">
        <f>+'Exercise 6 - Paid LDFs'!I10/'Exercise 6 Inc LDFs'!I13</f>
        <v>0.95807248284596547</v>
      </c>
      <c r="J10" s="339">
        <f>+'Exercise 6 - Paid LDFs'!J10/'Exercise 6 Inc LDFs'!J13</f>
        <v>0.95669891150367592</v>
      </c>
      <c r="K10" s="339">
        <f>+'Exercise 6 - Paid LDFs'!K10/'Exercise 6 Inc LDFs'!K13</f>
        <v>0.87928579509696625</v>
      </c>
      <c r="L10" s="339">
        <f>+'Exercise 6 - Paid LDFs'!L10/'Exercise 6 Inc LDFs'!L13</f>
        <v>0.92484632032837455</v>
      </c>
      <c r="M10" s="339">
        <f>+'Exercise 6 - Paid LDFs'!M10/'Exercise 6 Inc LDFs'!M13</f>
        <v>0.96019626675001368</v>
      </c>
      <c r="N10" s="339">
        <f>+'Exercise 6 - Paid LDFs'!N10/'Exercise 6 Inc LDFs'!N13</f>
        <v>0.96019626675001368</v>
      </c>
      <c r="O10" s="339">
        <f>+'Exercise 6 - Paid LDFs'!O10/'Exercise 6 Inc LDFs'!O13</f>
        <v>0.96114789833252112</v>
      </c>
      <c r="P10" s="339">
        <f>+'Exercise 6 - Paid LDFs'!P10/'Exercise 6 Inc LDFs'!P13</f>
        <v>0.96114789833252112</v>
      </c>
      <c r="Q10" s="48"/>
    </row>
    <row r="11" spans="1:17">
      <c r="A11" s="124">
        <f t="shared" si="1"/>
        <v>2003</v>
      </c>
      <c r="B11" s="342">
        <f>+'Exercise 6 - Paid LDFs'!B11/'Exercise 6 Inc LDFs'!B14</f>
        <v>0.15856315411201474</v>
      </c>
      <c r="C11" s="339">
        <f>+'Exercise 6 - Paid LDFs'!C11/'Exercise 6 Inc LDFs'!C14</f>
        <v>0.37636138526960872</v>
      </c>
      <c r="D11" s="339">
        <f>+'Exercise 6 - Paid LDFs'!D11/'Exercise 6 Inc LDFs'!D14</f>
        <v>0.66956141129539348</v>
      </c>
      <c r="E11" s="339">
        <f>+'Exercise 6 - Paid LDFs'!E11/'Exercise 6 Inc LDFs'!E14</f>
        <v>0.85371053086908877</v>
      </c>
      <c r="F11" s="339">
        <f>+'Exercise 6 - Paid LDFs'!F11/'Exercise 6 Inc LDFs'!F14</f>
        <v>0.87944220481562718</v>
      </c>
      <c r="G11" s="339">
        <f>+'Exercise 6 - Paid LDFs'!G11/'Exercise 6 Inc LDFs'!G14</f>
        <v>0.93748906866203152</v>
      </c>
      <c r="H11" s="339">
        <f>+'Exercise 6 - Paid LDFs'!H11/'Exercise 6 Inc LDFs'!H14</f>
        <v>0.94271730093047257</v>
      </c>
      <c r="I11" s="339">
        <f>+'Exercise 6 - Paid LDFs'!I11/'Exercise 6 Inc LDFs'!I14</f>
        <v>0.9389476941559799</v>
      </c>
      <c r="J11" s="339">
        <f>+'Exercise 6 - Paid LDFs'!J11/'Exercise 6 Inc LDFs'!J14</f>
        <v>0.94080656924267037</v>
      </c>
      <c r="K11" s="339">
        <f>+'Exercise 6 - Paid LDFs'!K11/'Exercise 6 Inc LDFs'!K14</f>
        <v>0.93485905238335343</v>
      </c>
      <c r="L11" s="339">
        <f>+'Exercise 6 - Paid LDFs'!L11/'Exercise 6 Inc LDFs'!L14</f>
        <v>0.92193506430162409</v>
      </c>
      <c r="M11" s="339">
        <f>+'Exercise 6 - Paid LDFs'!M11/'Exercise 6 Inc LDFs'!M14</f>
        <v>0.87620198218161383</v>
      </c>
      <c r="N11" s="339">
        <f>+'Exercise 6 - Paid LDFs'!N11/'Exercise 6 Inc LDFs'!N14</f>
        <v>0.99120223027109011</v>
      </c>
      <c r="O11" s="339">
        <f>+'Exercise 6 - Paid LDFs'!O11/'Exercise 6 Inc LDFs'!O14</f>
        <v>0.98508604746621853</v>
      </c>
      <c r="P11" s="340"/>
      <c r="Q11" s="48"/>
    </row>
    <row r="12" spans="1:17">
      <c r="A12" s="124">
        <f t="shared" si="1"/>
        <v>2004</v>
      </c>
      <c r="B12" s="342">
        <f>+'Exercise 6 - Paid LDFs'!B12/'Exercise 6 Inc LDFs'!B15</f>
        <v>0.11565056233330247</v>
      </c>
      <c r="C12" s="339">
        <f>+'Exercise 6 - Paid LDFs'!C12/'Exercise 6 Inc LDFs'!C15</f>
        <v>0.25147746356300166</v>
      </c>
      <c r="D12" s="339">
        <f>+'Exercise 6 - Paid LDFs'!D12/'Exercise 6 Inc LDFs'!D15</f>
        <v>0.57369978002837485</v>
      </c>
      <c r="E12" s="339">
        <f>+'Exercise 6 - Paid LDFs'!E12/'Exercise 6 Inc LDFs'!E15</f>
        <v>0.73625535477729276</v>
      </c>
      <c r="F12" s="339">
        <f>+'Exercise 6 - Paid LDFs'!F12/'Exercise 6 Inc LDFs'!F15</f>
        <v>0.92567764242844086</v>
      </c>
      <c r="G12" s="339">
        <f>+'Exercise 6 - Paid LDFs'!G12/'Exercise 6 Inc LDFs'!G15</f>
        <v>0.96975455173392955</v>
      </c>
      <c r="H12" s="339">
        <f>+'Exercise 6 - Paid LDFs'!H12/'Exercise 6 Inc LDFs'!H15</f>
        <v>0.98080357256130812</v>
      </c>
      <c r="I12" s="339">
        <f>+'Exercise 6 - Paid LDFs'!I12/'Exercise 6 Inc LDFs'!I15</f>
        <v>0.98921491886752033</v>
      </c>
      <c r="J12" s="339">
        <f>+'Exercise 6 - Paid LDFs'!J12/'Exercise 6 Inc LDFs'!J15</f>
        <v>0.98921491886752033</v>
      </c>
      <c r="K12" s="339">
        <f>+'Exercise 6 - Paid LDFs'!K12/'Exercise 6 Inc LDFs'!K15</f>
        <v>0.94109261680466183</v>
      </c>
      <c r="L12" s="339">
        <f>+'Exercise 6 - Paid LDFs'!L12/'Exercise 6 Inc LDFs'!L15</f>
        <v>0.85595400300695357</v>
      </c>
      <c r="M12" s="339">
        <f>+'Exercise 6 - Paid LDFs'!M12/'Exercise 6 Inc LDFs'!M15</f>
        <v>0.99624227402524179</v>
      </c>
      <c r="N12" s="339">
        <f>+'Exercise 6 - Paid LDFs'!N12/'Exercise 6 Inc LDFs'!N15</f>
        <v>0.99237863846616503</v>
      </c>
      <c r="O12" s="340"/>
      <c r="P12" s="340"/>
      <c r="Q12" s="48"/>
    </row>
    <row r="13" spans="1:17">
      <c r="A13" s="124">
        <f t="shared" si="1"/>
        <v>2005</v>
      </c>
      <c r="B13" s="342">
        <f>+'Exercise 6 - Paid LDFs'!B13/'Exercise 6 Inc LDFs'!B16</f>
        <v>0.25827476008109568</v>
      </c>
      <c r="C13" s="339">
        <f>+'Exercise 6 - Paid LDFs'!C13/'Exercise 6 Inc LDFs'!C16</f>
        <v>0.40320864280492608</v>
      </c>
      <c r="D13" s="339">
        <f>+'Exercise 6 - Paid LDFs'!D13/'Exercise 6 Inc LDFs'!D16</f>
        <v>0.43203893185310505</v>
      </c>
      <c r="E13" s="339">
        <f>+'Exercise 6 - Paid LDFs'!E13/'Exercise 6 Inc LDFs'!E16</f>
        <v>0.58656479181326659</v>
      </c>
      <c r="F13" s="339">
        <f>+'Exercise 6 - Paid LDFs'!F13/'Exercise 6 Inc LDFs'!F16</f>
        <v>0.71398049606618186</v>
      </c>
      <c r="G13" s="339">
        <f>+'Exercise 6 - Paid LDFs'!G13/'Exercise 6 Inc LDFs'!G16</f>
        <v>0.80958962956306257</v>
      </c>
      <c r="H13" s="339">
        <f>+'Exercise 6 - Paid LDFs'!H13/'Exercise 6 Inc LDFs'!H16</f>
        <v>0.89759460323498375</v>
      </c>
      <c r="I13" s="339">
        <f>+'Exercise 6 - Paid LDFs'!I13/'Exercise 6 Inc LDFs'!I16</f>
        <v>0.93891617249529447</v>
      </c>
      <c r="J13" s="339">
        <f>+'Exercise 6 - Paid LDFs'!J13/'Exercise 6 Inc LDFs'!J16</f>
        <v>0.93436874140537729</v>
      </c>
      <c r="K13" s="339">
        <f>+'Exercise 6 - Paid LDFs'!K13/'Exercise 6 Inc LDFs'!K16</f>
        <v>0.78468374791182294</v>
      </c>
      <c r="L13" s="339">
        <f>+'Exercise 6 - Paid LDFs'!L13/'Exercise 6 Inc LDFs'!L16</f>
        <v>0.99518882277675036</v>
      </c>
      <c r="M13" s="339">
        <f>+'Exercise 6 - Paid LDFs'!M13/'Exercise 6 Inc LDFs'!M16</f>
        <v>0.9842096666755944</v>
      </c>
      <c r="N13" s="340"/>
      <c r="O13" s="340"/>
      <c r="P13" s="340"/>
      <c r="Q13" s="48"/>
    </row>
    <row r="14" spans="1:17">
      <c r="A14" s="124">
        <f t="shared" si="1"/>
        <v>2006</v>
      </c>
      <c r="B14" s="342">
        <f>+'Exercise 6 - Paid LDFs'!B14/'Exercise 6 Inc LDFs'!B17</f>
        <v>0.18818868393379967</v>
      </c>
      <c r="C14" s="339">
        <f>+'Exercise 6 - Paid LDFs'!C14/'Exercise 6 Inc LDFs'!C17</f>
        <v>0.22733823663598096</v>
      </c>
      <c r="D14" s="339">
        <f>+'Exercise 6 - Paid LDFs'!D14/'Exercise 6 Inc LDFs'!D17</f>
        <v>0.3943466954993452</v>
      </c>
      <c r="E14" s="339">
        <f>+'Exercise 6 - Paid LDFs'!E14/'Exercise 6 Inc LDFs'!E17</f>
        <v>0.53430510397298914</v>
      </c>
      <c r="F14" s="339">
        <f>+'Exercise 6 - Paid LDFs'!F14/'Exercise 6 Inc LDFs'!F17</f>
        <v>0.6932752918975883</v>
      </c>
      <c r="G14" s="339">
        <f>+'Exercise 6 - Paid LDFs'!G14/'Exercise 6 Inc LDFs'!G17</f>
        <v>0.72090435936845043</v>
      </c>
      <c r="H14" s="339">
        <f>+'Exercise 6 - Paid LDFs'!H14/'Exercise 6 Inc LDFs'!H17</f>
        <v>0.75769497578177547</v>
      </c>
      <c r="I14" s="339">
        <f>+'Exercise 6 - Paid LDFs'!I14/'Exercise 6 Inc LDFs'!I17</f>
        <v>0.83590971766951006</v>
      </c>
      <c r="J14" s="339">
        <f>+'Exercise 6 - Paid LDFs'!J14/'Exercise 6 Inc LDFs'!J17</f>
        <v>0.89542044735839077</v>
      </c>
      <c r="K14" s="339">
        <f>+'Exercise 6 - Paid LDFs'!K14/'Exercise 6 Inc LDFs'!K17</f>
        <v>0.87428072420872993</v>
      </c>
      <c r="L14" s="339">
        <f>+'Exercise 6 - Paid LDFs'!L14/'Exercise 6 Inc LDFs'!L17</f>
        <v>0.92302042542772378</v>
      </c>
      <c r="M14" s="340"/>
      <c r="N14" s="340"/>
      <c r="O14" s="340"/>
      <c r="P14" s="340"/>
      <c r="Q14" s="48"/>
    </row>
    <row r="15" spans="1:17">
      <c r="A15" s="124">
        <f t="shared" si="1"/>
        <v>2007</v>
      </c>
      <c r="B15" s="342">
        <f>+'Exercise 6 - Paid LDFs'!B15/'Exercise 6 Inc LDFs'!B18</f>
        <v>0.34219842211429552</v>
      </c>
      <c r="C15" s="339">
        <f>+'Exercise 6 - Paid LDFs'!C15/'Exercise 6 Inc LDFs'!C18</f>
        <v>0.40764788201595153</v>
      </c>
      <c r="D15" s="339">
        <f>+'Exercise 6 - Paid LDFs'!D15/'Exercise 6 Inc LDFs'!D18</f>
        <v>0.5671591250145428</v>
      </c>
      <c r="E15" s="339">
        <f>+'Exercise 6 - Paid LDFs'!E15/'Exercise 6 Inc LDFs'!E18</f>
        <v>0.70540665986608753</v>
      </c>
      <c r="F15" s="339">
        <f>+'Exercise 6 - Paid LDFs'!F15/'Exercise 6 Inc LDFs'!F18</f>
        <v>0.89410091941240311</v>
      </c>
      <c r="G15" s="339">
        <f>+'Exercise 6 - Paid LDFs'!G15/'Exercise 6 Inc LDFs'!G18</f>
        <v>0.97361493080373696</v>
      </c>
      <c r="H15" s="339">
        <f>+'Exercise 6 - Paid LDFs'!H15/'Exercise 6 Inc LDFs'!H18</f>
        <v>0.87449442358599105</v>
      </c>
      <c r="I15" s="339">
        <f>+'Exercise 6 - Paid LDFs'!I15/'Exercise 6 Inc LDFs'!I18</f>
        <v>0.83211823823262476</v>
      </c>
      <c r="J15" s="339">
        <f>+'Exercise 6 - Paid LDFs'!J15/'Exercise 6 Inc LDFs'!J18</f>
        <v>0.98068354498707089</v>
      </c>
      <c r="K15" s="339">
        <f>+'Exercise 6 - Paid LDFs'!K15/'Exercise 6 Inc LDFs'!K18</f>
        <v>0.97842269207735144</v>
      </c>
      <c r="L15" s="340"/>
      <c r="M15" s="340"/>
      <c r="N15" s="340"/>
      <c r="O15" s="340"/>
      <c r="P15" s="340"/>
    </row>
    <row r="16" spans="1:17">
      <c r="A16" s="124">
        <f t="shared" si="1"/>
        <v>2008</v>
      </c>
      <c r="B16" s="342">
        <f>+'Exercise 6 - Paid LDFs'!B16/'Exercise 6 Inc LDFs'!B19</f>
        <v>0.22465228004639465</v>
      </c>
      <c r="C16" s="339">
        <f>+'Exercise 6 - Paid LDFs'!C16/'Exercise 6 Inc LDFs'!C19</f>
        <v>0.32591960216253713</v>
      </c>
      <c r="D16" s="339">
        <f>+'Exercise 6 - Paid LDFs'!D16/'Exercise 6 Inc LDFs'!D19</f>
        <v>0.52253399114529553</v>
      </c>
      <c r="E16" s="339">
        <f>+'Exercise 6 - Paid LDFs'!E16/'Exercise 6 Inc LDFs'!E19</f>
        <v>0.80268947297436677</v>
      </c>
      <c r="F16" s="339">
        <f>+'Exercise 6 - Paid LDFs'!F16/'Exercise 6 Inc LDFs'!F19</f>
        <v>0.83109004507626716</v>
      </c>
      <c r="G16" s="339">
        <f>+'Exercise 6 - Paid LDFs'!G16/'Exercise 6 Inc LDFs'!G19</f>
        <v>0.71497355044533062</v>
      </c>
      <c r="H16" s="339">
        <f>+'Exercise 6 - Paid LDFs'!H16/'Exercise 6 Inc LDFs'!H19</f>
        <v>0.73439353299287258</v>
      </c>
      <c r="I16" s="339">
        <f>+'Exercise 6 - Paid LDFs'!I16/'Exercise 6 Inc LDFs'!I19</f>
        <v>1</v>
      </c>
      <c r="J16" s="339">
        <f>+'Exercise 6 - Paid LDFs'!J16/'Exercise 6 Inc LDFs'!J19</f>
        <v>1</v>
      </c>
      <c r="K16" s="340"/>
      <c r="L16" s="340"/>
      <c r="M16" s="340"/>
      <c r="N16" s="340"/>
      <c r="O16" s="340"/>
      <c r="P16" s="340"/>
    </row>
    <row r="17" spans="1:16">
      <c r="A17" s="124">
        <f t="shared" si="1"/>
        <v>2009</v>
      </c>
      <c r="B17" s="342">
        <f>+'Exercise 6 - Paid LDFs'!B17/'Exercise 6 Inc LDFs'!B20</f>
        <v>0.35723787816662028</v>
      </c>
      <c r="C17" s="339">
        <f>+'Exercise 6 - Paid LDFs'!C17/'Exercise 6 Inc LDFs'!C20</f>
        <v>0.50721171742271198</v>
      </c>
      <c r="D17" s="339">
        <f>+'Exercise 6 - Paid LDFs'!D17/'Exercise 6 Inc LDFs'!D20</f>
        <v>0.6812934949778654</v>
      </c>
      <c r="E17" s="339">
        <f>+'Exercise 6 - Paid LDFs'!E17/'Exercise 6 Inc LDFs'!E20</f>
        <v>0.60786422066697998</v>
      </c>
      <c r="F17" s="339">
        <f>+'Exercise 6 - Paid LDFs'!F17/'Exercise 6 Inc LDFs'!F20</f>
        <v>0.85316335292748313</v>
      </c>
      <c r="G17" s="339">
        <f>+'Exercise 6 - Paid LDFs'!G17/'Exercise 6 Inc LDFs'!G20</f>
        <v>0.90143324735269126</v>
      </c>
      <c r="H17" s="339">
        <f>+'Exercise 6 - Paid LDFs'!H17/'Exercise 6 Inc LDFs'!H20</f>
        <v>0.94248906655969533</v>
      </c>
      <c r="I17" s="339">
        <f>+'Exercise 6 - Paid LDFs'!I17/'Exercise 6 Inc LDFs'!I20</f>
        <v>0.92120630938650239</v>
      </c>
      <c r="J17" s="340"/>
      <c r="K17" s="340"/>
      <c r="L17" s="340"/>
      <c r="M17" s="340"/>
      <c r="N17" s="340"/>
      <c r="O17" s="340"/>
      <c r="P17" s="340"/>
    </row>
    <row r="18" spans="1:16">
      <c r="A18" s="124">
        <f t="shared" si="1"/>
        <v>2010</v>
      </c>
      <c r="B18" s="342">
        <f>+'Exercise 6 - Paid LDFs'!B18/'Exercise 6 Inc LDFs'!B21</f>
        <v>0.21045600564779546</v>
      </c>
      <c r="C18" s="339">
        <f>+'Exercise 6 - Paid LDFs'!C18/'Exercise 6 Inc LDFs'!C21</f>
        <v>0.39375834697344869</v>
      </c>
      <c r="D18" s="339">
        <f>+'Exercise 6 - Paid LDFs'!D18/'Exercise 6 Inc LDFs'!D21</f>
        <v>0.42423479904835032</v>
      </c>
      <c r="E18" s="339">
        <f>+'Exercise 6 - Paid LDFs'!E18/'Exercise 6 Inc LDFs'!E21</f>
        <v>0.76947485746321076</v>
      </c>
      <c r="F18" s="339">
        <f>+'Exercise 6 - Paid LDFs'!F18/'Exercise 6 Inc LDFs'!F21</f>
        <v>0.84456395089861347</v>
      </c>
      <c r="G18" s="339">
        <f>+'Exercise 6 - Paid LDFs'!G18/'Exercise 6 Inc LDFs'!G21</f>
        <v>0.86565003273955576</v>
      </c>
      <c r="H18" s="339">
        <f>+'Exercise 6 - Paid LDFs'!H18/'Exercise 6 Inc LDFs'!H21</f>
        <v>0.86901390828894154</v>
      </c>
      <c r="I18" s="340"/>
      <c r="J18" s="340"/>
      <c r="K18" s="340"/>
      <c r="L18" s="340"/>
      <c r="M18" s="340"/>
      <c r="N18" s="340"/>
      <c r="O18" s="340"/>
      <c r="P18" s="340"/>
    </row>
    <row r="19" spans="1:16">
      <c r="A19" s="124">
        <f t="shared" si="1"/>
        <v>2011</v>
      </c>
      <c r="B19" s="342">
        <f>+'Exercise 6 - Paid LDFs'!B19/'Exercise 6 Inc LDFs'!B22</f>
        <v>0.15071513181392784</v>
      </c>
      <c r="C19" s="339">
        <f>+'Exercise 6 - Paid LDFs'!C19/'Exercise 6 Inc LDFs'!C22</f>
        <v>0.43240537945856949</v>
      </c>
      <c r="D19" s="339">
        <f>+'Exercise 6 - Paid LDFs'!D19/'Exercise 6 Inc LDFs'!D22</f>
        <v>0.44035405120431492</v>
      </c>
      <c r="E19" s="339">
        <f>+'Exercise 6 - Paid LDFs'!E19/'Exercise 6 Inc LDFs'!E22</f>
        <v>0.48050613012283577</v>
      </c>
      <c r="F19" s="339">
        <f>+'Exercise 6 - Paid LDFs'!F19/'Exercise 6 Inc LDFs'!F22</f>
        <v>0.82872356453330442</v>
      </c>
      <c r="G19" s="339">
        <f>+'Exercise 6 - Paid LDFs'!G19/'Exercise 6 Inc LDFs'!G22</f>
        <v>0.92804424375447414</v>
      </c>
      <c r="H19" s="340"/>
      <c r="I19" s="340"/>
      <c r="J19" s="340"/>
      <c r="K19" s="340"/>
      <c r="L19" s="340"/>
      <c r="M19" s="340"/>
      <c r="N19" s="340"/>
      <c r="O19" s="340"/>
      <c r="P19" s="340"/>
    </row>
    <row r="20" spans="1:16">
      <c r="A20" s="124">
        <f t="shared" si="1"/>
        <v>2012</v>
      </c>
      <c r="B20" s="342">
        <f>+'Exercise 6 - Paid LDFs'!B20/'Exercise 6 Inc LDFs'!B23</f>
        <v>0.40687745293531435</v>
      </c>
      <c r="C20" s="339">
        <f>+'Exercise 6 - Paid LDFs'!C20/'Exercise 6 Inc LDFs'!C23</f>
        <v>0.59382103220296678</v>
      </c>
      <c r="D20" s="339">
        <f>+'Exercise 6 - Paid LDFs'!D20/'Exercise 6 Inc LDFs'!D23</f>
        <v>0.50494977013092635</v>
      </c>
      <c r="E20" s="339">
        <f>+'Exercise 6 - Paid LDFs'!E20/'Exercise 6 Inc LDFs'!E23</f>
        <v>0.6381245206721049</v>
      </c>
      <c r="F20" s="339">
        <f>+'Exercise 6 - Paid LDFs'!F20/'Exercise 6 Inc LDFs'!F23</f>
        <v>0.75852734819376488</v>
      </c>
      <c r="G20" s="340"/>
      <c r="H20" s="340"/>
      <c r="I20" s="340"/>
      <c r="J20" s="340"/>
      <c r="K20" s="340"/>
      <c r="L20" s="340"/>
      <c r="M20" s="340"/>
      <c r="N20" s="340"/>
      <c r="O20" s="340"/>
      <c r="P20" s="340"/>
    </row>
    <row r="21" spans="1:16">
      <c r="A21" s="124">
        <f t="shared" si="1"/>
        <v>2013</v>
      </c>
      <c r="B21" s="342">
        <f>+'Exercise 6 - Paid LDFs'!B21/'Exercise 6 Inc LDFs'!B24</f>
        <v>0.31995706452782308</v>
      </c>
      <c r="C21" s="339">
        <f>+'Exercise 6 - Paid LDFs'!C21/'Exercise 6 Inc LDFs'!C24</f>
        <v>0.48451533689586707</v>
      </c>
      <c r="D21" s="339">
        <f>+'Exercise 6 - Paid LDFs'!D21/'Exercise 6 Inc LDFs'!D24</f>
        <v>0.55564801133806141</v>
      </c>
      <c r="E21" s="339">
        <f>+'Exercise 6 - Paid LDFs'!E21/'Exercise 6 Inc LDFs'!E24</f>
        <v>0.60693717105726452</v>
      </c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</row>
    <row r="22" spans="1:16">
      <c r="A22" s="124">
        <f t="shared" si="1"/>
        <v>2014</v>
      </c>
      <c r="B22" s="342">
        <f>+'Exercise 6 - Paid LDFs'!B22/'Exercise 6 Inc LDFs'!B25</f>
        <v>0.25982461614178509</v>
      </c>
      <c r="C22" s="339">
        <f>+'Exercise 6 - Paid LDFs'!C22/'Exercise 6 Inc LDFs'!C25</f>
        <v>0.3083987654235531</v>
      </c>
      <c r="D22" s="339">
        <f>+'Exercise 6 - Paid LDFs'!D22/'Exercise 6 Inc LDFs'!D25</f>
        <v>0.54362351318738145</v>
      </c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</row>
    <row r="23" spans="1:16">
      <c r="A23" s="124">
        <f>+A24-1</f>
        <v>2015</v>
      </c>
      <c r="B23" s="342">
        <f>+'Exercise 6 - Paid LDFs'!B23/'Exercise 6 Inc LDFs'!B26</f>
        <v>0.20728537795972229</v>
      </c>
      <c r="C23" s="339">
        <f>+'Exercise 6 - Paid LDFs'!C23/'Exercise 6 Inc LDFs'!C26</f>
        <v>0.26238611612350066</v>
      </c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</row>
    <row r="24" spans="1:16">
      <c r="A24" s="338">
        <f>+EndYear</f>
        <v>2016</v>
      </c>
      <c r="B24" s="342">
        <f>+'Exercise 6 - Paid LDFs'!B24/'Exercise 6 Inc LDFs'!B27</f>
        <v>0.16210809828038916</v>
      </c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</row>
    <row r="25" spans="1:16"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16">
      <c r="B26" s="303" t="s">
        <v>156</v>
      </c>
    </row>
    <row r="109" spans="2:16">
      <c r="B109" s="125">
        <f>+'Exercise 6 - Paid LDFs'!B10/'Exercise 6 Inc LDFs'!B13</f>
        <v>0.15696155174404697</v>
      </c>
      <c r="C109" s="125">
        <f>+'Exercise 6 - Paid LDFs'!C10/'Exercise 6 Inc LDFs'!C13</f>
        <v>0.3252115086121054</v>
      </c>
      <c r="D109" s="125">
        <f>+'Exercise 6 - Paid LDFs'!D10/'Exercise 6 Inc LDFs'!D13</f>
        <v>0.56444678680978222</v>
      </c>
      <c r="E109" s="125">
        <f>+'Exercise 6 - Paid LDFs'!E10/'Exercise 6 Inc LDFs'!E13</f>
        <v>0.72399773126653599</v>
      </c>
      <c r="F109" s="125">
        <f>+'Exercise 6 - Paid LDFs'!F10/'Exercise 6 Inc LDFs'!F13</f>
        <v>0.84151632863784553</v>
      </c>
      <c r="G109" s="125">
        <f>+'Exercise 6 - Paid LDFs'!G10/'Exercise 6 Inc LDFs'!G13</f>
        <v>0.90608712092056476</v>
      </c>
      <c r="H109" s="125">
        <f>+'Exercise 6 - Paid LDFs'!H10/'Exercise 6 Inc LDFs'!H13</f>
        <v>0.94213589072313175</v>
      </c>
      <c r="I109" s="125">
        <f>+'Exercise 6 - Paid LDFs'!I10/'Exercise 6 Inc LDFs'!I13</f>
        <v>0.95807248284596547</v>
      </c>
      <c r="J109" s="125">
        <f>+'Exercise 6 - Paid LDFs'!J10/'Exercise 6 Inc LDFs'!J13</f>
        <v>0.95669891150367592</v>
      </c>
      <c r="K109" s="125">
        <f>+'Exercise 6 - Paid LDFs'!K10/'Exercise 6 Inc LDFs'!K13</f>
        <v>0.87928579509696625</v>
      </c>
      <c r="L109" s="125">
        <f>+'Exercise 6 - Paid LDFs'!L10/'Exercise 6 Inc LDFs'!L13</f>
        <v>0.92484632032837455</v>
      </c>
      <c r="M109" s="125">
        <f>+'Exercise 6 - Paid LDFs'!M10/'Exercise 6 Inc LDFs'!M13</f>
        <v>0.96019626675001368</v>
      </c>
      <c r="N109" s="125">
        <f>+'Exercise 6 - Paid LDFs'!N10/'Exercise 6 Inc LDFs'!N13</f>
        <v>0.96019626675001368</v>
      </c>
      <c r="O109" s="125">
        <f>+'Exercise 6 - Paid LDFs'!O10/'Exercise 6 Inc LDFs'!O13</f>
        <v>0.96114789833252112</v>
      </c>
      <c r="P109" s="125">
        <f>+'Exercise 6 - Paid LDFs'!P10/'Exercise 6 Inc LDFs'!P13</f>
        <v>0.96114789833252112</v>
      </c>
    </row>
    <row r="110" spans="2:16">
      <c r="B110" s="125">
        <f>+'Exercise 6 - Paid LDFs'!B11/'Exercise 6 Inc LDFs'!B14</f>
        <v>0.15856315411201474</v>
      </c>
      <c r="C110" s="125">
        <f>+'Exercise 6 - Paid LDFs'!C11/'Exercise 6 Inc LDFs'!C14</f>
        <v>0.37636138526960872</v>
      </c>
      <c r="D110" s="125">
        <f>+'Exercise 6 - Paid LDFs'!D11/'Exercise 6 Inc LDFs'!D14</f>
        <v>0.66956141129539348</v>
      </c>
      <c r="E110" s="125">
        <f>+'Exercise 6 - Paid LDFs'!E11/'Exercise 6 Inc LDFs'!E14</f>
        <v>0.85371053086908877</v>
      </c>
      <c r="F110" s="125">
        <f>+'Exercise 6 - Paid LDFs'!F11/'Exercise 6 Inc LDFs'!F14</f>
        <v>0.87944220481562718</v>
      </c>
      <c r="G110" s="125">
        <f>+'Exercise 6 - Paid LDFs'!G11/'Exercise 6 Inc LDFs'!G14</f>
        <v>0.93748906866203152</v>
      </c>
      <c r="H110" s="125">
        <f>+'Exercise 6 - Paid LDFs'!H11/'Exercise 6 Inc LDFs'!H14</f>
        <v>0.94271730093047257</v>
      </c>
      <c r="I110" s="125">
        <f>+'Exercise 6 - Paid LDFs'!I11/'Exercise 6 Inc LDFs'!I14</f>
        <v>0.9389476941559799</v>
      </c>
      <c r="J110" s="125">
        <f>+'Exercise 6 - Paid LDFs'!J11/'Exercise 6 Inc LDFs'!J14</f>
        <v>0.94080656924267037</v>
      </c>
      <c r="K110" s="125">
        <f>+'Exercise 6 - Paid LDFs'!K11/'Exercise 6 Inc LDFs'!K14</f>
        <v>0.93485905238335343</v>
      </c>
      <c r="L110" s="125">
        <f>+'Exercise 6 - Paid LDFs'!L11/'Exercise 6 Inc LDFs'!L14</f>
        <v>0.92193506430162409</v>
      </c>
      <c r="M110" s="125">
        <f>+'Exercise 6 - Paid LDFs'!M11/'Exercise 6 Inc LDFs'!M14</f>
        <v>0.87620198218161383</v>
      </c>
      <c r="N110" s="125">
        <f>+'Exercise 6 - Paid LDFs'!N11/'Exercise 6 Inc LDFs'!N14</f>
        <v>0.99120223027109011</v>
      </c>
      <c r="O110" s="125">
        <f>+'Exercise 6 - Paid LDFs'!O11/'Exercise 6 Inc LDFs'!O14</f>
        <v>0.98508604746621853</v>
      </c>
      <c r="P110" s="131"/>
    </row>
    <row r="111" spans="2:16">
      <c r="B111" s="125">
        <f>+'Exercise 6 - Paid LDFs'!B12/'Exercise 6 Inc LDFs'!B15</f>
        <v>0.11565056233330247</v>
      </c>
      <c r="C111" s="125">
        <f>+'Exercise 6 - Paid LDFs'!C12/'Exercise 6 Inc LDFs'!C15</f>
        <v>0.25147746356300166</v>
      </c>
      <c r="D111" s="125">
        <f>+'Exercise 6 - Paid LDFs'!D12/'Exercise 6 Inc LDFs'!D15</f>
        <v>0.57369978002837485</v>
      </c>
      <c r="E111" s="125">
        <f>+'Exercise 6 - Paid LDFs'!E12/'Exercise 6 Inc LDFs'!E15</f>
        <v>0.73625535477729276</v>
      </c>
      <c r="F111" s="125">
        <f>+'Exercise 6 - Paid LDFs'!F12/'Exercise 6 Inc LDFs'!F15</f>
        <v>0.92567764242844086</v>
      </c>
      <c r="G111" s="125">
        <f>+'Exercise 6 - Paid LDFs'!G12/'Exercise 6 Inc LDFs'!G15</f>
        <v>0.96975455173392955</v>
      </c>
      <c r="H111" s="125">
        <f>+'Exercise 6 - Paid LDFs'!H12/'Exercise 6 Inc LDFs'!H15</f>
        <v>0.98080357256130812</v>
      </c>
      <c r="I111" s="125">
        <f>+'Exercise 6 - Paid LDFs'!I12/'Exercise 6 Inc LDFs'!I15</f>
        <v>0.98921491886752033</v>
      </c>
      <c r="J111" s="125">
        <f>+'Exercise 6 - Paid LDFs'!J12/'Exercise 6 Inc LDFs'!J15</f>
        <v>0.98921491886752033</v>
      </c>
      <c r="K111" s="125">
        <f>+'Exercise 6 - Paid LDFs'!K12/'Exercise 6 Inc LDFs'!K15</f>
        <v>0.94109261680466183</v>
      </c>
      <c r="L111" s="125">
        <f>+'Exercise 6 - Paid LDFs'!L12/'Exercise 6 Inc LDFs'!L15</f>
        <v>0.85595400300695357</v>
      </c>
      <c r="M111" s="125">
        <f>+'Exercise 6 - Paid LDFs'!M12/'Exercise 6 Inc LDFs'!M15</f>
        <v>0.99624227402524179</v>
      </c>
      <c r="N111" s="125">
        <f>+'Exercise 6 - Paid LDFs'!N12/'Exercise 6 Inc LDFs'!N15</f>
        <v>0.99237863846616503</v>
      </c>
      <c r="O111" s="131"/>
      <c r="P111" s="131"/>
    </row>
    <row r="112" spans="2:16">
      <c r="B112" s="125">
        <f>+'Exercise 6 - Paid LDFs'!B13/'Exercise 6 Inc LDFs'!B16</f>
        <v>0.25827476008109568</v>
      </c>
      <c r="C112" s="125">
        <f>+'Exercise 6 - Paid LDFs'!C13/'Exercise 6 Inc LDFs'!C16</f>
        <v>0.40320864280492608</v>
      </c>
      <c r="D112" s="125">
        <f>+'Exercise 6 - Paid LDFs'!D13/'Exercise 6 Inc LDFs'!D16</f>
        <v>0.43203893185310505</v>
      </c>
      <c r="E112" s="125">
        <f>+'Exercise 6 - Paid LDFs'!E13/'Exercise 6 Inc LDFs'!E16</f>
        <v>0.58656479181326659</v>
      </c>
      <c r="F112" s="125">
        <f>+'Exercise 6 - Paid LDFs'!F13/'Exercise 6 Inc LDFs'!F16</f>
        <v>0.71398049606618186</v>
      </c>
      <c r="G112" s="125">
        <f>+'Exercise 6 - Paid LDFs'!G13/'Exercise 6 Inc LDFs'!G16</f>
        <v>0.80958962956306257</v>
      </c>
      <c r="H112" s="125">
        <f>+'Exercise 6 - Paid LDFs'!H13/'Exercise 6 Inc LDFs'!H16</f>
        <v>0.89759460323498375</v>
      </c>
      <c r="I112" s="125">
        <f>+'Exercise 6 - Paid LDFs'!I13/'Exercise 6 Inc LDFs'!I16</f>
        <v>0.93891617249529447</v>
      </c>
      <c r="J112" s="125">
        <f>+'Exercise 6 - Paid LDFs'!J13/'Exercise 6 Inc LDFs'!J16</f>
        <v>0.93436874140537729</v>
      </c>
      <c r="K112" s="125">
        <f>+'Exercise 6 - Paid LDFs'!K13/'Exercise 6 Inc LDFs'!K16</f>
        <v>0.78468374791182294</v>
      </c>
      <c r="L112" s="125">
        <f>+'Exercise 6 - Paid LDFs'!L13/'Exercise 6 Inc LDFs'!L16</f>
        <v>0.99518882277675036</v>
      </c>
      <c r="M112" s="125">
        <f>+'Exercise 6 - Paid LDFs'!M13/'Exercise 6 Inc LDFs'!M16</f>
        <v>0.9842096666755944</v>
      </c>
      <c r="N112" s="131"/>
      <c r="O112" s="131"/>
      <c r="P112" s="131"/>
    </row>
    <row r="113" spans="2:16">
      <c r="B113" s="125">
        <f>+'Exercise 6 - Paid LDFs'!B14/'Exercise 6 Inc LDFs'!B17</f>
        <v>0.18818868393379967</v>
      </c>
      <c r="C113" s="125">
        <f>+'Exercise 6 - Paid LDFs'!C14/'Exercise 6 Inc LDFs'!C17</f>
        <v>0.22733823663598096</v>
      </c>
      <c r="D113" s="125">
        <f>+'Exercise 6 - Paid LDFs'!D14/'Exercise 6 Inc LDFs'!D17</f>
        <v>0.3943466954993452</v>
      </c>
      <c r="E113" s="125">
        <f>+'Exercise 6 - Paid LDFs'!E14/'Exercise 6 Inc LDFs'!E17</f>
        <v>0.53430510397298914</v>
      </c>
      <c r="F113" s="125">
        <f>+'Exercise 6 - Paid LDFs'!F14/'Exercise 6 Inc LDFs'!F17</f>
        <v>0.6932752918975883</v>
      </c>
      <c r="G113" s="125">
        <f>+'Exercise 6 - Paid LDFs'!G14/'Exercise 6 Inc LDFs'!G17</f>
        <v>0.72090435936845043</v>
      </c>
      <c r="H113" s="125">
        <f>+'Exercise 6 - Paid LDFs'!H14/'Exercise 6 Inc LDFs'!H17</f>
        <v>0.75769497578177547</v>
      </c>
      <c r="I113" s="125">
        <f>+'Exercise 6 - Paid LDFs'!I14/'Exercise 6 Inc LDFs'!I17</f>
        <v>0.83590971766951006</v>
      </c>
      <c r="J113" s="125">
        <f>+'Exercise 6 - Paid LDFs'!J14/'Exercise 6 Inc LDFs'!J17</f>
        <v>0.89542044735839077</v>
      </c>
      <c r="K113" s="125">
        <f>+'Exercise 6 - Paid LDFs'!K14/'Exercise 6 Inc LDFs'!K17</f>
        <v>0.87428072420872993</v>
      </c>
      <c r="L113" s="125">
        <f>+'Exercise 6 - Paid LDFs'!L14/'Exercise 6 Inc LDFs'!L17</f>
        <v>0.92302042542772378</v>
      </c>
      <c r="M113" s="131"/>
      <c r="N113" s="131"/>
      <c r="O113" s="131"/>
      <c r="P113" s="131"/>
    </row>
    <row r="114" spans="2:16">
      <c r="B114" s="125">
        <f>+'Exercise 6 - Paid LDFs'!B15/'Exercise 6 Inc LDFs'!B18</f>
        <v>0.34219842211429552</v>
      </c>
      <c r="C114" s="125">
        <f>+'Exercise 6 - Paid LDFs'!C15/'Exercise 6 Inc LDFs'!C18</f>
        <v>0.40764788201595153</v>
      </c>
      <c r="D114" s="125">
        <f>+'Exercise 6 - Paid LDFs'!D15/'Exercise 6 Inc LDFs'!D18</f>
        <v>0.5671591250145428</v>
      </c>
      <c r="E114" s="125">
        <f>+'Exercise 6 - Paid LDFs'!E15/'Exercise 6 Inc LDFs'!E18</f>
        <v>0.70540665986608753</v>
      </c>
      <c r="F114" s="125">
        <f>+'Exercise 6 - Paid LDFs'!F15/'Exercise 6 Inc LDFs'!F18</f>
        <v>0.89410091941240311</v>
      </c>
      <c r="G114" s="125">
        <f>+'Exercise 6 - Paid LDFs'!G15/'Exercise 6 Inc LDFs'!G18</f>
        <v>0.97361493080373696</v>
      </c>
      <c r="H114" s="125">
        <f>+'Exercise 6 - Paid LDFs'!H15/'Exercise 6 Inc LDFs'!H18</f>
        <v>0.87449442358599105</v>
      </c>
      <c r="I114" s="125">
        <f>+'Exercise 6 - Paid LDFs'!I15/'Exercise 6 Inc LDFs'!I18</f>
        <v>0.83211823823262476</v>
      </c>
      <c r="J114" s="125">
        <f>+'Exercise 6 - Paid LDFs'!J15/'Exercise 6 Inc LDFs'!J18</f>
        <v>0.98068354498707089</v>
      </c>
      <c r="K114" s="125">
        <f>+'Exercise 6 - Paid LDFs'!K15/'Exercise 6 Inc LDFs'!K18</f>
        <v>0.97842269207735144</v>
      </c>
      <c r="L114" s="125"/>
      <c r="M114" s="125"/>
      <c r="N114" s="125"/>
      <c r="O114" s="125"/>
      <c r="P114" s="125"/>
    </row>
    <row r="115" spans="2:16">
      <c r="B115" s="125">
        <f>+'Exercise 6 - Paid LDFs'!B16/'Exercise 6 Inc LDFs'!B19</f>
        <v>0.22465228004639465</v>
      </c>
      <c r="C115" s="125">
        <f>+'Exercise 6 - Paid LDFs'!C16/'Exercise 6 Inc LDFs'!C19</f>
        <v>0.32591960216253713</v>
      </c>
      <c r="D115" s="125">
        <f>+'Exercise 6 - Paid LDFs'!D16/'Exercise 6 Inc LDFs'!D19</f>
        <v>0.52253399114529553</v>
      </c>
      <c r="E115" s="125">
        <f>+'Exercise 6 - Paid LDFs'!E16/'Exercise 6 Inc LDFs'!E19</f>
        <v>0.80268947297436677</v>
      </c>
      <c r="F115" s="125">
        <f>+'Exercise 6 - Paid LDFs'!F16/'Exercise 6 Inc LDFs'!F19</f>
        <v>0.83109004507626716</v>
      </c>
      <c r="G115" s="125">
        <f>+'Exercise 6 - Paid LDFs'!G16/'Exercise 6 Inc LDFs'!G19</f>
        <v>0.71497355044533062</v>
      </c>
      <c r="H115" s="125">
        <f>+'Exercise 6 - Paid LDFs'!H16/'Exercise 6 Inc LDFs'!H19</f>
        <v>0.73439353299287258</v>
      </c>
      <c r="I115" s="125">
        <f>+'Exercise 6 - Paid LDFs'!I16/'Exercise 6 Inc LDFs'!I19</f>
        <v>1</v>
      </c>
      <c r="J115" s="125">
        <f>+'Exercise 6 - Paid LDFs'!J16/'Exercise 6 Inc LDFs'!J19</f>
        <v>1</v>
      </c>
      <c r="K115" s="125"/>
      <c r="L115" s="125"/>
      <c r="M115" s="125"/>
      <c r="N115" s="125"/>
      <c r="O115" s="125"/>
      <c r="P115" s="125"/>
    </row>
    <row r="116" spans="2:16">
      <c r="B116" s="125">
        <f>+'Exercise 6 - Paid LDFs'!B17/'Exercise 6 Inc LDFs'!B20</f>
        <v>0.35723787816662028</v>
      </c>
      <c r="C116" s="125">
        <f>+'Exercise 6 - Paid LDFs'!C17/'Exercise 6 Inc LDFs'!C20</f>
        <v>0.50721171742271198</v>
      </c>
      <c r="D116" s="125">
        <f>+'Exercise 6 - Paid LDFs'!D17/'Exercise 6 Inc LDFs'!D20</f>
        <v>0.6812934949778654</v>
      </c>
      <c r="E116" s="125">
        <f>+'Exercise 6 - Paid LDFs'!E17/'Exercise 6 Inc LDFs'!E20</f>
        <v>0.60786422066697998</v>
      </c>
      <c r="F116" s="125">
        <f>+'Exercise 6 - Paid LDFs'!F17/'Exercise 6 Inc LDFs'!F20</f>
        <v>0.85316335292748313</v>
      </c>
      <c r="G116" s="125">
        <f>+'Exercise 6 - Paid LDFs'!G17/'Exercise 6 Inc LDFs'!G20</f>
        <v>0.90143324735269126</v>
      </c>
      <c r="H116" s="125">
        <f>+'Exercise 6 - Paid LDFs'!H17/'Exercise 6 Inc LDFs'!H20</f>
        <v>0.94248906655969533</v>
      </c>
      <c r="I116" s="125">
        <f>+'Exercise 6 - Paid LDFs'!I17/'Exercise 6 Inc LDFs'!I20</f>
        <v>0.92120630938650239</v>
      </c>
      <c r="J116" s="125"/>
      <c r="K116" s="125"/>
      <c r="L116" s="125"/>
      <c r="M116" s="125"/>
      <c r="N116" s="125"/>
      <c r="O116" s="125"/>
      <c r="P116" s="125"/>
    </row>
    <row r="117" spans="2:16">
      <c r="B117" s="125">
        <f>+'Exercise 6 - Paid LDFs'!B18/'Exercise 6 Inc LDFs'!B21</f>
        <v>0.21045600564779546</v>
      </c>
      <c r="C117" s="125">
        <f>+'Exercise 6 - Paid LDFs'!C18/'Exercise 6 Inc LDFs'!C21</f>
        <v>0.39375834697344869</v>
      </c>
      <c r="D117" s="125">
        <f>+'Exercise 6 - Paid LDFs'!D18/'Exercise 6 Inc LDFs'!D21</f>
        <v>0.42423479904835032</v>
      </c>
      <c r="E117" s="125">
        <f>+'Exercise 6 - Paid LDFs'!E18/'Exercise 6 Inc LDFs'!E21</f>
        <v>0.76947485746321076</v>
      </c>
      <c r="F117" s="125">
        <f>+'Exercise 6 - Paid LDFs'!F18/'Exercise 6 Inc LDFs'!F21</f>
        <v>0.84456395089861347</v>
      </c>
      <c r="G117" s="125">
        <f>+'Exercise 6 - Paid LDFs'!G18/'Exercise 6 Inc LDFs'!G21</f>
        <v>0.86565003273955576</v>
      </c>
      <c r="H117" s="125">
        <f>+'Exercise 6 - Paid LDFs'!H18/'Exercise 6 Inc LDFs'!H21</f>
        <v>0.86901390828894154</v>
      </c>
      <c r="I117" s="125"/>
      <c r="J117" s="125"/>
      <c r="K117" s="125"/>
      <c r="L117" s="125"/>
      <c r="M117" s="125"/>
      <c r="N117" s="125"/>
      <c r="O117" s="125"/>
      <c r="P117" s="125"/>
    </row>
    <row r="118" spans="2:16">
      <c r="B118" s="125">
        <f>+'Exercise 6 - Paid LDFs'!B19/'Exercise 6 Inc LDFs'!B22</f>
        <v>0.15071513181392784</v>
      </c>
      <c r="C118" s="125">
        <f>+'Exercise 6 - Paid LDFs'!C19/'Exercise 6 Inc LDFs'!C22</f>
        <v>0.43240537945856949</v>
      </c>
      <c r="D118" s="125">
        <f>+'Exercise 6 - Paid LDFs'!D19/'Exercise 6 Inc LDFs'!D22</f>
        <v>0.44035405120431492</v>
      </c>
      <c r="E118" s="125">
        <f>+'Exercise 6 - Paid LDFs'!E19/'Exercise 6 Inc LDFs'!E22</f>
        <v>0.48050613012283577</v>
      </c>
      <c r="F118" s="125">
        <f>+'Exercise 6 - Paid LDFs'!F19/'Exercise 6 Inc LDFs'!F22</f>
        <v>0.82872356453330442</v>
      </c>
      <c r="G118" s="125">
        <f>+'Exercise 6 - Paid LDFs'!G19/'Exercise 6 Inc LDFs'!G22</f>
        <v>0.92804424375447414</v>
      </c>
      <c r="H118" s="125"/>
      <c r="I118" s="125"/>
      <c r="J118" s="125"/>
      <c r="K118" s="125"/>
      <c r="L118" s="125"/>
      <c r="M118" s="125"/>
      <c r="N118" s="125"/>
      <c r="O118" s="125"/>
      <c r="P118" s="125"/>
    </row>
    <row r="119" spans="2:16">
      <c r="B119" s="125">
        <f>+'Exercise 6 - Paid LDFs'!B20/'Exercise 6 Inc LDFs'!B23</f>
        <v>0.40687745293531435</v>
      </c>
      <c r="C119" s="125">
        <f>+'Exercise 6 - Paid LDFs'!C20/'Exercise 6 Inc LDFs'!C23</f>
        <v>0.59382103220296678</v>
      </c>
      <c r="D119" s="125">
        <f>+'Exercise 6 - Paid LDFs'!D20/'Exercise 6 Inc LDFs'!D23</f>
        <v>0.50494977013092635</v>
      </c>
      <c r="E119" s="125">
        <f>+'Exercise 6 - Paid LDFs'!E20/'Exercise 6 Inc LDFs'!E23</f>
        <v>0.6381245206721049</v>
      </c>
      <c r="F119" s="125">
        <f>+'Exercise 6 - Paid LDFs'!F20/'Exercise 6 Inc LDFs'!F23</f>
        <v>0.75852734819376488</v>
      </c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</row>
    <row r="120" spans="2:16">
      <c r="B120" s="125">
        <f>+'Exercise 6 - Paid LDFs'!B21/'Exercise 6 Inc LDFs'!B24</f>
        <v>0.31995706452782308</v>
      </c>
      <c r="C120" s="125">
        <f>+'Exercise 6 - Paid LDFs'!C21/'Exercise 6 Inc LDFs'!C24</f>
        <v>0.48451533689586707</v>
      </c>
      <c r="D120" s="125">
        <f>+'Exercise 6 - Paid LDFs'!D21/'Exercise 6 Inc LDFs'!D24</f>
        <v>0.55564801133806141</v>
      </c>
      <c r="E120" s="125">
        <f>+'Exercise 6 - Paid LDFs'!E21/'Exercise 6 Inc LDFs'!E24</f>
        <v>0.60693717105726452</v>
      </c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</row>
    <row r="121" spans="2:16">
      <c r="B121" s="125">
        <f>+'Exercise 6 - Paid LDFs'!B22/'Exercise 6 Inc LDFs'!B25</f>
        <v>0.25982461614178509</v>
      </c>
      <c r="C121" s="125">
        <f>+'Exercise 6 - Paid LDFs'!C22/'Exercise 6 Inc LDFs'!C25</f>
        <v>0.3083987654235531</v>
      </c>
      <c r="D121" s="125">
        <f>+'Exercise 6 - Paid LDFs'!D22/'Exercise 6 Inc LDFs'!D25</f>
        <v>0.54362351318738145</v>
      </c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</row>
    <row r="122" spans="2:16">
      <c r="B122" s="125">
        <f>+'Exercise 6 - Paid LDFs'!B23/'Exercise 6 Inc LDFs'!B26</f>
        <v>0.20728537795972229</v>
      </c>
      <c r="C122" s="125">
        <f>+'Exercise 6 - Paid LDFs'!C23/'Exercise 6 Inc LDFs'!C26</f>
        <v>0.26238611612350066</v>
      </c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</row>
    <row r="123" spans="2:16">
      <c r="B123" s="125">
        <f>+'Exercise 6 - Paid LDFs'!B24/'Exercise 6 Inc LDFs'!B27</f>
        <v>0.16210809828038916</v>
      </c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</row>
  </sheetData>
  <conditionalFormatting sqref="B10:P24">
    <cfRule type="cellIs" dxfId="2" priority="1" stopIfTrue="1" operator="notEqual">
      <formula>B109</formula>
    </cfRule>
  </conditionalFormatting>
  <pageMargins left="0.7" right="0.7" top="0.75" bottom="0.75" header="0.3" footer="0.3"/>
  <ignoredErrors>
    <ignoredError sqref="B10:P24" unlocked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</sheetPr>
  <dimension ref="A1:Q123"/>
  <sheetViews>
    <sheetView showGridLines="0" workbookViewId="0">
      <selection sqref="A1:Q24"/>
    </sheetView>
  </sheetViews>
  <sheetFormatPr defaultColWidth="10" defaultRowHeight="15"/>
  <cols>
    <col min="1" max="1" width="11.5703125" style="45" customWidth="1"/>
    <col min="2" max="16" width="11.140625" style="37" customWidth="1"/>
    <col min="17" max="17" width="2.7109375" style="37" customWidth="1"/>
    <col min="18" max="16384" width="10" style="37"/>
  </cols>
  <sheetData>
    <row r="1" spans="1:17" ht="15.75">
      <c r="A1" s="203" t="s">
        <v>0</v>
      </c>
    </row>
    <row r="2" spans="1:17" ht="15.75">
      <c r="A2" s="204" t="str">
        <f>+"Analysis of Loss &amp; DCC Reserves as of "&amp;TEXT(EvalDate,"mm/dd/yyy")</f>
        <v>Analysis of Loss &amp; DCC Reserves as of 12/31/2016</v>
      </c>
    </row>
    <row r="3" spans="1:17" ht="15.75">
      <c r="A3" s="205" t="str">
        <f>+LOB</f>
        <v>Liability</v>
      </c>
    </row>
    <row r="5" spans="1:17">
      <c r="A5" s="228" t="s">
        <v>133</v>
      </c>
    </row>
    <row r="7" spans="1:17">
      <c r="A7" s="40" t="str">
        <f>'[1]Exercise 6 - Paid-Ldfs'!$A$10</f>
        <v>Accident</v>
      </c>
      <c r="B7" s="41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</row>
    <row r="8" spans="1:17" s="45" customFormat="1">
      <c r="A8" s="43" t="s">
        <v>5</v>
      </c>
      <c r="B8" s="44">
        <v>12</v>
      </c>
      <c r="C8" s="44">
        <f t="shared" ref="C8:P8" si="0">B8+12</f>
        <v>24</v>
      </c>
      <c r="D8" s="44">
        <f t="shared" si="0"/>
        <v>36</v>
      </c>
      <c r="E8" s="44">
        <f t="shared" si="0"/>
        <v>48</v>
      </c>
      <c r="F8" s="44">
        <f t="shared" si="0"/>
        <v>60</v>
      </c>
      <c r="G8" s="44">
        <f t="shared" si="0"/>
        <v>72</v>
      </c>
      <c r="H8" s="44">
        <f t="shared" si="0"/>
        <v>84</v>
      </c>
      <c r="I8" s="44">
        <f t="shared" si="0"/>
        <v>96</v>
      </c>
      <c r="J8" s="44">
        <f t="shared" si="0"/>
        <v>108</v>
      </c>
      <c r="K8" s="44">
        <f t="shared" si="0"/>
        <v>120</v>
      </c>
      <c r="L8" s="44">
        <f t="shared" si="0"/>
        <v>132</v>
      </c>
      <c r="M8" s="44">
        <f t="shared" si="0"/>
        <v>144</v>
      </c>
      <c r="N8" s="44">
        <f t="shared" si="0"/>
        <v>156</v>
      </c>
      <c r="O8" s="44">
        <f t="shared" si="0"/>
        <v>168</v>
      </c>
      <c r="P8" s="44">
        <f t="shared" si="0"/>
        <v>180</v>
      </c>
    </row>
    <row r="9" spans="1:17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8"/>
    </row>
    <row r="10" spans="1:17">
      <c r="A10" s="49">
        <f t="shared" ref="A10:A22" si="1">+A11-1</f>
        <v>2002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48"/>
    </row>
    <row r="11" spans="1:17">
      <c r="A11" s="49">
        <f t="shared" si="1"/>
        <v>2003</v>
      </c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130"/>
      <c r="Q11" s="48"/>
    </row>
    <row r="12" spans="1:17">
      <c r="A12" s="49">
        <f t="shared" si="1"/>
        <v>2004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130"/>
      <c r="P12" s="130"/>
      <c r="Q12" s="48"/>
    </row>
    <row r="13" spans="1:17">
      <c r="A13" s="49">
        <f t="shared" si="1"/>
        <v>2005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130"/>
      <c r="O13" s="130"/>
      <c r="P13" s="130"/>
      <c r="Q13" s="48"/>
    </row>
    <row r="14" spans="1:17">
      <c r="A14" s="49">
        <f t="shared" si="1"/>
        <v>2006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130"/>
      <c r="N14" s="130"/>
      <c r="O14" s="130"/>
      <c r="P14" s="130"/>
      <c r="Q14" s="48"/>
    </row>
    <row r="15" spans="1:17">
      <c r="A15" s="49">
        <f t="shared" si="1"/>
        <v>2007</v>
      </c>
      <c r="B15" s="323"/>
      <c r="C15" s="323"/>
      <c r="D15" s="323"/>
      <c r="E15" s="323"/>
      <c r="F15" s="323"/>
      <c r="G15" s="323"/>
      <c r="H15" s="323"/>
      <c r="I15" s="323"/>
      <c r="J15" s="323"/>
      <c r="K15" s="323"/>
      <c r="L15" s="130"/>
      <c r="M15" s="130"/>
      <c r="N15" s="130"/>
      <c r="O15" s="130"/>
      <c r="P15" s="130"/>
    </row>
    <row r="16" spans="1:17">
      <c r="A16" s="49">
        <f t="shared" si="1"/>
        <v>2008</v>
      </c>
      <c r="B16" s="323"/>
      <c r="C16" s="323"/>
      <c r="D16" s="323"/>
      <c r="E16" s="323"/>
      <c r="F16" s="323"/>
      <c r="G16" s="323"/>
      <c r="H16" s="323"/>
      <c r="I16" s="323"/>
      <c r="J16" s="323"/>
      <c r="K16" s="130"/>
      <c r="L16" s="130"/>
      <c r="M16" s="130"/>
      <c r="N16" s="130"/>
      <c r="O16" s="130"/>
      <c r="P16" s="130"/>
    </row>
    <row r="17" spans="1:16">
      <c r="A17" s="49">
        <f t="shared" si="1"/>
        <v>2009</v>
      </c>
      <c r="B17" s="323"/>
      <c r="C17" s="323"/>
      <c r="D17" s="323"/>
      <c r="E17" s="323"/>
      <c r="F17" s="323"/>
      <c r="G17" s="323"/>
      <c r="H17" s="323"/>
      <c r="I17" s="323"/>
      <c r="J17" s="130"/>
      <c r="K17" s="130"/>
      <c r="L17" s="130"/>
      <c r="M17" s="130"/>
      <c r="N17" s="130"/>
      <c r="O17" s="130"/>
      <c r="P17" s="130"/>
    </row>
    <row r="18" spans="1:16">
      <c r="A18" s="49">
        <f t="shared" si="1"/>
        <v>2010</v>
      </c>
      <c r="B18" s="323"/>
      <c r="C18" s="323"/>
      <c r="D18" s="323"/>
      <c r="E18" s="323"/>
      <c r="F18" s="323"/>
      <c r="G18" s="323"/>
      <c r="H18" s="323"/>
      <c r="I18" s="130"/>
      <c r="J18" s="130"/>
      <c r="K18" s="130"/>
      <c r="L18" s="130"/>
      <c r="M18" s="130"/>
      <c r="N18" s="130"/>
      <c r="O18" s="130"/>
      <c r="P18" s="130"/>
    </row>
    <row r="19" spans="1:16">
      <c r="A19" s="49">
        <f t="shared" si="1"/>
        <v>2011</v>
      </c>
      <c r="B19" s="323"/>
      <c r="C19" s="323"/>
      <c r="D19" s="323"/>
      <c r="E19" s="323"/>
      <c r="F19" s="323"/>
      <c r="G19" s="323"/>
      <c r="H19" s="130"/>
      <c r="I19" s="130"/>
      <c r="J19" s="130"/>
      <c r="K19" s="130"/>
      <c r="L19" s="130"/>
      <c r="M19" s="130"/>
      <c r="N19" s="130"/>
      <c r="O19" s="130"/>
      <c r="P19" s="130"/>
    </row>
    <row r="20" spans="1:16">
      <c r="A20" s="49">
        <f t="shared" si="1"/>
        <v>2012</v>
      </c>
      <c r="B20" s="323"/>
      <c r="C20" s="323"/>
      <c r="D20" s="323"/>
      <c r="E20" s="323"/>
      <c r="F20" s="323"/>
      <c r="G20" s="130"/>
      <c r="H20" s="130"/>
      <c r="I20" s="130"/>
      <c r="J20" s="130"/>
      <c r="K20" s="130"/>
      <c r="L20" s="130"/>
      <c r="M20" s="130"/>
      <c r="N20" s="130"/>
      <c r="O20" s="130"/>
      <c r="P20" s="130"/>
    </row>
    <row r="21" spans="1:16">
      <c r="A21" s="49">
        <f t="shared" si="1"/>
        <v>2013</v>
      </c>
      <c r="B21" s="323"/>
      <c r="C21" s="323"/>
      <c r="D21" s="323"/>
      <c r="E21" s="323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</row>
    <row r="22" spans="1:16">
      <c r="A22" s="49">
        <f t="shared" si="1"/>
        <v>2014</v>
      </c>
      <c r="B22" s="323"/>
      <c r="C22" s="323"/>
      <c r="D22" s="323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</row>
    <row r="23" spans="1:16">
      <c r="A23" s="49">
        <f>+A24-1</f>
        <v>2015</v>
      </c>
      <c r="B23" s="323"/>
      <c r="C23" s="323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</row>
    <row r="24" spans="1:16">
      <c r="A24" s="51">
        <f>+EndYear</f>
        <v>2016</v>
      </c>
      <c r="B24" s="323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</row>
    <row r="25" spans="1:16"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16">
      <c r="B26" s="303" t="s">
        <v>156</v>
      </c>
    </row>
    <row r="109" spans="2:16">
      <c r="B109" s="125">
        <f>+'Exercise 6 - Paid LDFs'!B10/'Exercise 6 Inc LDFs'!B13</f>
        <v>0.15696155174404697</v>
      </c>
      <c r="C109" s="125">
        <f>+'Exercise 6 - Paid LDFs'!C10/'Exercise 6 Inc LDFs'!C13</f>
        <v>0.3252115086121054</v>
      </c>
      <c r="D109" s="125">
        <f>+'Exercise 6 - Paid LDFs'!D10/'Exercise 6 Inc LDFs'!D13</f>
        <v>0.56444678680978222</v>
      </c>
      <c r="E109" s="125">
        <f>+'Exercise 6 - Paid LDFs'!E10/'Exercise 6 Inc LDFs'!E13</f>
        <v>0.72399773126653599</v>
      </c>
      <c r="F109" s="125">
        <f>+'Exercise 6 - Paid LDFs'!F10/'Exercise 6 Inc LDFs'!F13</f>
        <v>0.84151632863784553</v>
      </c>
      <c r="G109" s="125">
        <f>+'Exercise 6 - Paid LDFs'!G10/'Exercise 6 Inc LDFs'!G13</f>
        <v>0.90608712092056476</v>
      </c>
      <c r="H109" s="125">
        <f>+'Exercise 6 - Paid LDFs'!H10/'Exercise 6 Inc LDFs'!H13</f>
        <v>0.94213589072313175</v>
      </c>
      <c r="I109" s="125">
        <f>+'Exercise 6 - Paid LDFs'!I10/'Exercise 6 Inc LDFs'!I13</f>
        <v>0.95807248284596547</v>
      </c>
      <c r="J109" s="125">
        <f>+'Exercise 6 - Paid LDFs'!J10/'Exercise 6 Inc LDFs'!J13</f>
        <v>0.95669891150367592</v>
      </c>
      <c r="K109" s="125">
        <f>+'Exercise 6 - Paid LDFs'!K10/'Exercise 6 Inc LDFs'!K13</f>
        <v>0.87928579509696625</v>
      </c>
      <c r="L109" s="125">
        <f>+'Exercise 6 - Paid LDFs'!L10/'Exercise 6 Inc LDFs'!L13</f>
        <v>0.92484632032837455</v>
      </c>
      <c r="M109" s="125">
        <f>+'Exercise 6 - Paid LDFs'!M10/'Exercise 6 Inc LDFs'!M13</f>
        <v>0.96019626675001368</v>
      </c>
      <c r="N109" s="125">
        <f>+'Exercise 6 - Paid LDFs'!N10/'Exercise 6 Inc LDFs'!N13</f>
        <v>0.96019626675001368</v>
      </c>
      <c r="O109" s="125">
        <f>+'Exercise 6 - Paid LDFs'!O10/'Exercise 6 Inc LDFs'!O13</f>
        <v>0.96114789833252112</v>
      </c>
      <c r="P109" s="125">
        <f>+'Exercise 6 - Paid LDFs'!P10/'Exercise 6 Inc LDFs'!P13</f>
        <v>0.96114789833252112</v>
      </c>
    </row>
    <row r="110" spans="2:16">
      <c r="B110" s="125">
        <f>+'Exercise 6 - Paid LDFs'!B11/'Exercise 6 Inc LDFs'!B14</f>
        <v>0.15856315411201474</v>
      </c>
      <c r="C110" s="125">
        <f>+'Exercise 6 - Paid LDFs'!C11/'Exercise 6 Inc LDFs'!C14</f>
        <v>0.37636138526960872</v>
      </c>
      <c r="D110" s="125">
        <f>+'Exercise 6 - Paid LDFs'!D11/'Exercise 6 Inc LDFs'!D14</f>
        <v>0.66956141129539348</v>
      </c>
      <c r="E110" s="125">
        <f>+'Exercise 6 - Paid LDFs'!E11/'Exercise 6 Inc LDFs'!E14</f>
        <v>0.85371053086908877</v>
      </c>
      <c r="F110" s="125">
        <f>+'Exercise 6 - Paid LDFs'!F11/'Exercise 6 Inc LDFs'!F14</f>
        <v>0.87944220481562718</v>
      </c>
      <c r="G110" s="125">
        <f>+'Exercise 6 - Paid LDFs'!G11/'Exercise 6 Inc LDFs'!G14</f>
        <v>0.93748906866203152</v>
      </c>
      <c r="H110" s="125">
        <f>+'Exercise 6 - Paid LDFs'!H11/'Exercise 6 Inc LDFs'!H14</f>
        <v>0.94271730093047257</v>
      </c>
      <c r="I110" s="125">
        <f>+'Exercise 6 - Paid LDFs'!I11/'Exercise 6 Inc LDFs'!I14</f>
        <v>0.9389476941559799</v>
      </c>
      <c r="J110" s="125">
        <f>+'Exercise 6 - Paid LDFs'!J11/'Exercise 6 Inc LDFs'!J14</f>
        <v>0.94080656924267037</v>
      </c>
      <c r="K110" s="125">
        <f>+'Exercise 6 - Paid LDFs'!K11/'Exercise 6 Inc LDFs'!K14</f>
        <v>0.93485905238335343</v>
      </c>
      <c r="L110" s="125">
        <f>+'Exercise 6 - Paid LDFs'!L11/'Exercise 6 Inc LDFs'!L14</f>
        <v>0.92193506430162409</v>
      </c>
      <c r="M110" s="125">
        <f>+'Exercise 6 - Paid LDFs'!M11/'Exercise 6 Inc LDFs'!M14</f>
        <v>0.87620198218161383</v>
      </c>
      <c r="N110" s="125">
        <f>+'Exercise 6 - Paid LDFs'!N11/'Exercise 6 Inc LDFs'!N14</f>
        <v>0.99120223027109011</v>
      </c>
      <c r="O110" s="125">
        <f>+'Exercise 6 - Paid LDFs'!O11/'Exercise 6 Inc LDFs'!O14</f>
        <v>0.98508604746621853</v>
      </c>
      <c r="P110" s="131"/>
    </row>
    <row r="111" spans="2:16">
      <c r="B111" s="125">
        <f>+'Exercise 6 - Paid LDFs'!B12/'Exercise 6 Inc LDFs'!B15</f>
        <v>0.11565056233330247</v>
      </c>
      <c r="C111" s="125">
        <f>+'Exercise 6 - Paid LDFs'!C12/'Exercise 6 Inc LDFs'!C15</f>
        <v>0.25147746356300166</v>
      </c>
      <c r="D111" s="125">
        <f>+'Exercise 6 - Paid LDFs'!D12/'Exercise 6 Inc LDFs'!D15</f>
        <v>0.57369978002837485</v>
      </c>
      <c r="E111" s="125">
        <f>+'Exercise 6 - Paid LDFs'!E12/'Exercise 6 Inc LDFs'!E15</f>
        <v>0.73625535477729276</v>
      </c>
      <c r="F111" s="125">
        <f>+'Exercise 6 - Paid LDFs'!F12/'Exercise 6 Inc LDFs'!F15</f>
        <v>0.92567764242844086</v>
      </c>
      <c r="G111" s="125">
        <f>+'Exercise 6 - Paid LDFs'!G12/'Exercise 6 Inc LDFs'!G15</f>
        <v>0.96975455173392955</v>
      </c>
      <c r="H111" s="125">
        <f>+'Exercise 6 - Paid LDFs'!H12/'Exercise 6 Inc LDFs'!H15</f>
        <v>0.98080357256130812</v>
      </c>
      <c r="I111" s="125">
        <f>+'Exercise 6 - Paid LDFs'!I12/'Exercise 6 Inc LDFs'!I15</f>
        <v>0.98921491886752033</v>
      </c>
      <c r="J111" s="125">
        <f>+'Exercise 6 - Paid LDFs'!J12/'Exercise 6 Inc LDFs'!J15</f>
        <v>0.98921491886752033</v>
      </c>
      <c r="K111" s="125">
        <f>+'Exercise 6 - Paid LDFs'!K12/'Exercise 6 Inc LDFs'!K15</f>
        <v>0.94109261680466183</v>
      </c>
      <c r="L111" s="125">
        <f>+'Exercise 6 - Paid LDFs'!L12/'Exercise 6 Inc LDFs'!L15</f>
        <v>0.85595400300695357</v>
      </c>
      <c r="M111" s="125">
        <f>+'Exercise 6 - Paid LDFs'!M12/'Exercise 6 Inc LDFs'!M15</f>
        <v>0.99624227402524179</v>
      </c>
      <c r="N111" s="125">
        <f>+'Exercise 6 - Paid LDFs'!N12/'Exercise 6 Inc LDFs'!N15</f>
        <v>0.99237863846616503</v>
      </c>
      <c r="O111" s="131"/>
      <c r="P111" s="131"/>
    </row>
    <row r="112" spans="2:16">
      <c r="B112" s="125">
        <f>+'Exercise 6 - Paid LDFs'!B13/'Exercise 6 Inc LDFs'!B16</f>
        <v>0.25827476008109568</v>
      </c>
      <c r="C112" s="125">
        <f>+'Exercise 6 - Paid LDFs'!C13/'Exercise 6 Inc LDFs'!C16</f>
        <v>0.40320864280492608</v>
      </c>
      <c r="D112" s="125">
        <f>+'Exercise 6 - Paid LDFs'!D13/'Exercise 6 Inc LDFs'!D16</f>
        <v>0.43203893185310505</v>
      </c>
      <c r="E112" s="125">
        <f>+'Exercise 6 - Paid LDFs'!E13/'Exercise 6 Inc LDFs'!E16</f>
        <v>0.58656479181326659</v>
      </c>
      <c r="F112" s="125">
        <f>+'Exercise 6 - Paid LDFs'!F13/'Exercise 6 Inc LDFs'!F16</f>
        <v>0.71398049606618186</v>
      </c>
      <c r="G112" s="125">
        <f>+'Exercise 6 - Paid LDFs'!G13/'Exercise 6 Inc LDFs'!G16</f>
        <v>0.80958962956306257</v>
      </c>
      <c r="H112" s="125">
        <f>+'Exercise 6 - Paid LDFs'!H13/'Exercise 6 Inc LDFs'!H16</f>
        <v>0.89759460323498375</v>
      </c>
      <c r="I112" s="125">
        <f>+'Exercise 6 - Paid LDFs'!I13/'Exercise 6 Inc LDFs'!I16</f>
        <v>0.93891617249529447</v>
      </c>
      <c r="J112" s="125">
        <f>+'Exercise 6 - Paid LDFs'!J13/'Exercise 6 Inc LDFs'!J16</f>
        <v>0.93436874140537729</v>
      </c>
      <c r="K112" s="125">
        <f>+'Exercise 6 - Paid LDFs'!K13/'Exercise 6 Inc LDFs'!K16</f>
        <v>0.78468374791182294</v>
      </c>
      <c r="L112" s="125">
        <f>+'Exercise 6 - Paid LDFs'!L13/'Exercise 6 Inc LDFs'!L16</f>
        <v>0.99518882277675036</v>
      </c>
      <c r="M112" s="125">
        <f>+'Exercise 6 - Paid LDFs'!M13/'Exercise 6 Inc LDFs'!M16</f>
        <v>0.9842096666755944</v>
      </c>
      <c r="N112" s="131"/>
      <c r="O112" s="131"/>
      <c r="P112" s="131"/>
    </row>
    <row r="113" spans="2:16">
      <c r="B113" s="125">
        <f>+'Exercise 6 - Paid LDFs'!B14/'Exercise 6 Inc LDFs'!B17</f>
        <v>0.18818868393379967</v>
      </c>
      <c r="C113" s="125">
        <f>+'Exercise 6 - Paid LDFs'!C14/'Exercise 6 Inc LDFs'!C17</f>
        <v>0.22733823663598096</v>
      </c>
      <c r="D113" s="125">
        <f>+'Exercise 6 - Paid LDFs'!D14/'Exercise 6 Inc LDFs'!D17</f>
        <v>0.3943466954993452</v>
      </c>
      <c r="E113" s="125">
        <f>+'Exercise 6 - Paid LDFs'!E14/'Exercise 6 Inc LDFs'!E17</f>
        <v>0.53430510397298914</v>
      </c>
      <c r="F113" s="125">
        <f>+'Exercise 6 - Paid LDFs'!F14/'Exercise 6 Inc LDFs'!F17</f>
        <v>0.6932752918975883</v>
      </c>
      <c r="G113" s="125">
        <f>+'Exercise 6 - Paid LDFs'!G14/'Exercise 6 Inc LDFs'!G17</f>
        <v>0.72090435936845043</v>
      </c>
      <c r="H113" s="125">
        <f>+'Exercise 6 - Paid LDFs'!H14/'Exercise 6 Inc LDFs'!H17</f>
        <v>0.75769497578177547</v>
      </c>
      <c r="I113" s="125">
        <f>+'Exercise 6 - Paid LDFs'!I14/'Exercise 6 Inc LDFs'!I17</f>
        <v>0.83590971766951006</v>
      </c>
      <c r="J113" s="125">
        <f>+'Exercise 6 - Paid LDFs'!J14/'Exercise 6 Inc LDFs'!J17</f>
        <v>0.89542044735839077</v>
      </c>
      <c r="K113" s="125">
        <f>+'Exercise 6 - Paid LDFs'!K14/'Exercise 6 Inc LDFs'!K17</f>
        <v>0.87428072420872993</v>
      </c>
      <c r="L113" s="125">
        <f>+'Exercise 6 - Paid LDFs'!L14/'Exercise 6 Inc LDFs'!L17</f>
        <v>0.92302042542772378</v>
      </c>
      <c r="M113" s="131"/>
      <c r="N113" s="131"/>
      <c r="O113" s="131"/>
      <c r="P113" s="131"/>
    </row>
    <row r="114" spans="2:16">
      <c r="B114" s="125">
        <f>+'Exercise 6 - Paid LDFs'!B15/'Exercise 6 Inc LDFs'!B18</f>
        <v>0.34219842211429552</v>
      </c>
      <c r="C114" s="125">
        <f>+'Exercise 6 - Paid LDFs'!C15/'Exercise 6 Inc LDFs'!C18</f>
        <v>0.40764788201595153</v>
      </c>
      <c r="D114" s="125">
        <f>+'Exercise 6 - Paid LDFs'!D15/'Exercise 6 Inc LDFs'!D18</f>
        <v>0.5671591250145428</v>
      </c>
      <c r="E114" s="125">
        <f>+'Exercise 6 - Paid LDFs'!E15/'Exercise 6 Inc LDFs'!E18</f>
        <v>0.70540665986608753</v>
      </c>
      <c r="F114" s="125">
        <f>+'Exercise 6 - Paid LDFs'!F15/'Exercise 6 Inc LDFs'!F18</f>
        <v>0.89410091941240311</v>
      </c>
      <c r="G114" s="125">
        <f>+'Exercise 6 - Paid LDFs'!G15/'Exercise 6 Inc LDFs'!G18</f>
        <v>0.97361493080373696</v>
      </c>
      <c r="H114" s="125">
        <f>+'Exercise 6 - Paid LDFs'!H15/'Exercise 6 Inc LDFs'!H18</f>
        <v>0.87449442358599105</v>
      </c>
      <c r="I114" s="125">
        <f>+'Exercise 6 - Paid LDFs'!I15/'Exercise 6 Inc LDFs'!I18</f>
        <v>0.83211823823262476</v>
      </c>
      <c r="J114" s="125">
        <f>+'Exercise 6 - Paid LDFs'!J15/'Exercise 6 Inc LDFs'!J18</f>
        <v>0.98068354498707089</v>
      </c>
      <c r="K114" s="125">
        <f>+'Exercise 6 - Paid LDFs'!K15/'Exercise 6 Inc LDFs'!K18</f>
        <v>0.97842269207735144</v>
      </c>
      <c r="L114" s="125"/>
      <c r="M114" s="125"/>
      <c r="N114" s="125"/>
      <c r="O114" s="125"/>
      <c r="P114" s="125"/>
    </row>
    <row r="115" spans="2:16">
      <c r="B115" s="125">
        <f>+'Exercise 6 - Paid LDFs'!B16/'Exercise 6 Inc LDFs'!B19</f>
        <v>0.22465228004639465</v>
      </c>
      <c r="C115" s="125">
        <f>+'Exercise 6 - Paid LDFs'!C16/'Exercise 6 Inc LDFs'!C19</f>
        <v>0.32591960216253713</v>
      </c>
      <c r="D115" s="125">
        <f>+'Exercise 6 - Paid LDFs'!D16/'Exercise 6 Inc LDFs'!D19</f>
        <v>0.52253399114529553</v>
      </c>
      <c r="E115" s="125">
        <f>+'Exercise 6 - Paid LDFs'!E16/'Exercise 6 Inc LDFs'!E19</f>
        <v>0.80268947297436677</v>
      </c>
      <c r="F115" s="125">
        <f>+'Exercise 6 - Paid LDFs'!F16/'Exercise 6 Inc LDFs'!F19</f>
        <v>0.83109004507626716</v>
      </c>
      <c r="G115" s="125">
        <f>+'Exercise 6 - Paid LDFs'!G16/'Exercise 6 Inc LDFs'!G19</f>
        <v>0.71497355044533062</v>
      </c>
      <c r="H115" s="125">
        <f>+'Exercise 6 - Paid LDFs'!H16/'Exercise 6 Inc LDFs'!H19</f>
        <v>0.73439353299287258</v>
      </c>
      <c r="I115" s="125">
        <f>+'Exercise 6 - Paid LDFs'!I16/'Exercise 6 Inc LDFs'!I19</f>
        <v>1</v>
      </c>
      <c r="J115" s="125">
        <f>+'Exercise 6 - Paid LDFs'!J16/'Exercise 6 Inc LDFs'!J19</f>
        <v>1</v>
      </c>
      <c r="K115" s="125"/>
      <c r="L115" s="125"/>
      <c r="M115" s="125"/>
      <c r="N115" s="125"/>
      <c r="O115" s="125"/>
      <c r="P115" s="125"/>
    </row>
    <row r="116" spans="2:16">
      <c r="B116" s="125">
        <f>+'Exercise 6 - Paid LDFs'!B17/'Exercise 6 Inc LDFs'!B20</f>
        <v>0.35723787816662028</v>
      </c>
      <c r="C116" s="125">
        <f>+'Exercise 6 - Paid LDFs'!C17/'Exercise 6 Inc LDFs'!C20</f>
        <v>0.50721171742271198</v>
      </c>
      <c r="D116" s="125">
        <f>+'Exercise 6 - Paid LDFs'!D17/'Exercise 6 Inc LDFs'!D20</f>
        <v>0.6812934949778654</v>
      </c>
      <c r="E116" s="125">
        <f>+'Exercise 6 - Paid LDFs'!E17/'Exercise 6 Inc LDFs'!E20</f>
        <v>0.60786422066697998</v>
      </c>
      <c r="F116" s="125">
        <f>+'Exercise 6 - Paid LDFs'!F17/'Exercise 6 Inc LDFs'!F20</f>
        <v>0.85316335292748313</v>
      </c>
      <c r="G116" s="125">
        <f>+'Exercise 6 - Paid LDFs'!G17/'Exercise 6 Inc LDFs'!G20</f>
        <v>0.90143324735269126</v>
      </c>
      <c r="H116" s="125">
        <f>+'Exercise 6 - Paid LDFs'!H17/'Exercise 6 Inc LDFs'!H20</f>
        <v>0.94248906655969533</v>
      </c>
      <c r="I116" s="125">
        <f>+'Exercise 6 - Paid LDFs'!I17/'Exercise 6 Inc LDFs'!I20</f>
        <v>0.92120630938650239</v>
      </c>
      <c r="J116" s="125"/>
      <c r="K116" s="125"/>
      <c r="L116" s="125"/>
      <c r="M116" s="125"/>
      <c r="N116" s="125"/>
      <c r="O116" s="125"/>
      <c r="P116" s="125"/>
    </row>
    <row r="117" spans="2:16">
      <c r="B117" s="125">
        <f>+'Exercise 6 - Paid LDFs'!B18/'Exercise 6 Inc LDFs'!B21</f>
        <v>0.21045600564779546</v>
      </c>
      <c r="C117" s="125">
        <f>+'Exercise 6 - Paid LDFs'!C18/'Exercise 6 Inc LDFs'!C21</f>
        <v>0.39375834697344869</v>
      </c>
      <c r="D117" s="125">
        <f>+'Exercise 6 - Paid LDFs'!D18/'Exercise 6 Inc LDFs'!D21</f>
        <v>0.42423479904835032</v>
      </c>
      <c r="E117" s="125">
        <f>+'Exercise 6 - Paid LDFs'!E18/'Exercise 6 Inc LDFs'!E21</f>
        <v>0.76947485746321076</v>
      </c>
      <c r="F117" s="125">
        <f>+'Exercise 6 - Paid LDFs'!F18/'Exercise 6 Inc LDFs'!F21</f>
        <v>0.84456395089861347</v>
      </c>
      <c r="G117" s="125">
        <f>+'Exercise 6 - Paid LDFs'!G18/'Exercise 6 Inc LDFs'!G21</f>
        <v>0.86565003273955576</v>
      </c>
      <c r="H117" s="125">
        <f>+'Exercise 6 - Paid LDFs'!H18/'Exercise 6 Inc LDFs'!H21</f>
        <v>0.86901390828894154</v>
      </c>
      <c r="I117" s="125"/>
      <c r="J117" s="125"/>
      <c r="K117" s="125"/>
      <c r="L117" s="125"/>
      <c r="M117" s="125"/>
      <c r="N117" s="125"/>
      <c r="O117" s="125"/>
      <c r="P117" s="125"/>
    </row>
    <row r="118" spans="2:16">
      <c r="B118" s="125">
        <f>+'Exercise 6 - Paid LDFs'!B19/'Exercise 6 Inc LDFs'!B22</f>
        <v>0.15071513181392784</v>
      </c>
      <c r="C118" s="125">
        <f>+'Exercise 6 - Paid LDFs'!C19/'Exercise 6 Inc LDFs'!C22</f>
        <v>0.43240537945856949</v>
      </c>
      <c r="D118" s="125">
        <f>+'Exercise 6 - Paid LDFs'!D19/'Exercise 6 Inc LDFs'!D22</f>
        <v>0.44035405120431492</v>
      </c>
      <c r="E118" s="125">
        <f>+'Exercise 6 - Paid LDFs'!E19/'Exercise 6 Inc LDFs'!E22</f>
        <v>0.48050613012283577</v>
      </c>
      <c r="F118" s="125">
        <f>+'Exercise 6 - Paid LDFs'!F19/'Exercise 6 Inc LDFs'!F22</f>
        <v>0.82872356453330442</v>
      </c>
      <c r="G118" s="125">
        <f>+'Exercise 6 - Paid LDFs'!G19/'Exercise 6 Inc LDFs'!G22</f>
        <v>0.92804424375447414</v>
      </c>
      <c r="H118" s="125"/>
      <c r="I118" s="125"/>
      <c r="J118" s="125"/>
      <c r="K118" s="125"/>
      <c r="L118" s="125"/>
      <c r="M118" s="125"/>
      <c r="N118" s="125"/>
      <c r="O118" s="125"/>
      <c r="P118" s="125"/>
    </row>
    <row r="119" spans="2:16">
      <c r="B119" s="125">
        <f>+'Exercise 6 - Paid LDFs'!B20/'Exercise 6 Inc LDFs'!B23</f>
        <v>0.40687745293531435</v>
      </c>
      <c r="C119" s="125">
        <f>+'Exercise 6 - Paid LDFs'!C20/'Exercise 6 Inc LDFs'!C23</f>
        <v>0.59382103220296678</v>
      </c>
      <c r="D119" s="125">
        <f>+'Exercise 6 - Paid LDFs'!D20/'Exercise 6 Inc LDFs'!D23</f>
        <v>0.50494977013092635</v>
      </c>
      <c r="E119" s="125">
        <f>+'Exercise 6 - Paid LDFs'!E20/'Exercise 6 Inc LDFs'!E23</f>
        <v>0.6381245206721049</v>
      </c>
      <c r="F119" s="125">
        <f>+'Exercise 6 - Paid LDFs'!F20/'Exercise 6 Inc LDFs'!F23</f>
        <v>0.75852734819376488</v>
      </c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</row>
    <row r="120" spans="2:16">
      <c r="B120" s="125">
        <f>+'Exercise 6 - Paid LDFs'!B21/'Exercise 6 Inc LDFs'!B24</f>
        <v>0.31995706452782308</v>
      </c>
      <c r="C120" s="125">
        <f>+'Exercise 6 - Paid LDFs'!C21/'Exercise 6 Inc LDFs'!C24</f>
        <v>0.48451533689586707</v>
      </c>
      <c r="D120" s="125">
        <f>+'Exercise 6 - Paid LDFs'!D21/'Exercise 6 Inc LDFs'!D24</f>
        <v>0.55564801133806141</v>
      </c>
      <c r="E120" s="125">
        <f>+'Exercise 6 - Paid LDFs'!E21/'Exercise 6 Inc LDFs'!E24</f>
        <v>0.60693717105726452</v>
      </c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</row>
    <row r="121" spans="2:16">
      <c r="B121" s="125">
        <f>+'Exercise 6 - Paid LDFs'!B22/'Exercise 6 Inc LDFs'!B25</f>
        <v>0.25982461614178509</v>
      </c>
      <c r="C121" s="125">
        <f>+'Exercise 6 - Paid LDFs'!C22/'Exercise 6 Inc LDFs'!C25</f>
        <v>0.3083987654235531</v>
      </c>
      <c r="D121" s="125">
        <f>+'Exercise 6 - Paid LDFs'!D22/'Exercise 6 Inc LDFs'!D25</f>
        <v>0.54362351318738145</v>
      </c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</row>
    <row r="122" spans="2:16">
      <c r="B122" s="125">
        <f>+'Exercise 6 - Paid LDFs'!B23/'Exercise 6 Inc LDFs'!B26</f>
        <v>0.20728537795972229</v>
      </c>
      <c r="C122" s="125">
        <f>+'Exercise 6 - Paid LDFs'!C23/'Exercise 6 Inc LDFs'!C26</f>
        <v>0.26238611612350066</v>
      </c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</row>
    <row r="123" spans="2:16">
      <c r="B123" s="125">
        <f>+'Exercise 6 - Paid LDFs'!B24/'Exercise 6 Inc LDFs'!B27</f>
        <v>0.16210809828038916</v>
      </c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</row>
  </sheetData>
  <conditionalFormatting sqref="B10:P24">
    <cfRule type="cellIs" dxfId="3" priority="1" stopIfTrue="1" operator="notEqual">
      <formula>B109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00"/>
  </sheetPr>
  <dimension ref="A1:Q126"/>
  <sheetViews>
    <sheetView workbookViewId="0"/>
  </sheetViews>
  <sheetFormatPr defaultColWidth="10" defaultRowHeight="15"/>
  <cols>
    <col min="1" max="1" width="11.5703125" style="45" customWidth="1"/>
    <col min="2" max="16" width="11.140625" style="37" customWidth="1"/>
    <col min="17" max="16384" width="10" style="37"/>
  </cols>
  <sheetData>
    <row r="1" spans="1:17" ht="15.75">
      <c r="A1" s="203" t="s">
        <v>0</v>
      </c>
    </row>
    <row r="2" spans="1:17" ht="15.75">
      <c r="A2" s="204" t="str">
        <f>+"Analysis of Loss &amp; DCC Reserves as of "&amp;TEXT(EvalDate,"mm/dd/yyy")</f>
        <v>Analysis of Loss &amp; DCC Reserves as of 12/31/2016</v>
      </c>
    </row>
    <row r="3" spans="1:17" ht="15.75">
      <c r="A3" s="205" t="str">
        <f>+LOB</f>
        <v>Liability</v>
      </c>
    </row>
    <row r="4" spans="1:17">
      <c r="A4" s="38"/>
      <c r="E4" s="39"/>
    </row>
    <row r="6" spans="1:17">
      <c r="A6" s="38" t="s">
        <v>101</v>
      </c>
    </row>
    <row r="7" spans="1:17">
      <c r="A7" s="38"/>
    </row>
    <row r="8" spans="1:17">
      <c r="A8" s="38"/>
    </row>
    <row r="10" spans="1:17">
      <c r="A10" s="40" t="str">
        <f>'[1]Exercise 6 - Paid-Ldfs'!$A$10</f>
        <v>Accident</v>
      </c>
      <c r="B10" s="41" t="s">
        <v>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</row>
    <row r="11" spans="1:17" s="45" customFormat="1">
      <c r="A11" s="43" t="s">
        <v>5</v>
      </c>
      <c r="B11" s="44">
        <v>12</v>
      </c>
      <c r="C11" s="44">
        <f t="shared" ref="C11:P11" si="0">B11+12</f>
        <v>24</v>
      </c>
      <c r="D11" s="44">
        <f t="shared" si="0"/>
        <v>36</v>
      </c>
      <c r="E11" s="44">
        <f t="shared" si="0"/>
        <v>48</v>
      </c>
      <c r="F11" s="44">
        <f t="shared" si="0"/>
        <v>60</v>
      </c>
      <c r="G11" s="44">
        <f t="shared" si="0"/>
        <v>72</v>
      </c>
      <c r="H11" s="44">
        <f t="shared" si="0"/>
        <v>84</v>
      </c>
      <c r="I11" s="44">
        <f t="shared" si="0"/>
        <v>96</v>
      </c>
      <c r="J11" s="44">
        <f t="shared" si="0"/>
        <v>108</v>
      </c>
      <c r="K11" s="44">
        <f t="shared" si="0"/>
        <v>120</v>
      </c>
      <c r="L11" s="44">
        <f t="shared" si="0"/>
        <v>132</v>
      </c>
      <c r="M11" s="44">
        <f t="shared" si="0"/>
        <v>144</v>
      </c>
      <c r="N11" s="44">
        <f t="shared" si="0"/>
        <v>156</v>
      </c>
      <c r="O11" s="44">
        <f t="shared" si="0"/>
        <v>168</v>
      </c>
      <c r="P11" s="44">
        <f t="shared" si="0"/>
        <v>180</v>
      </c>
    </row>
    <row r="12" spans="1:17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</row>
    <row r="13" spans="1:17">
      <c r="A13" s="49">
        <f t="shared" ref="A13:A25" si="1">+A14-1</f>
        <v>2002</v>
      </c>
      <c r="B13" s="323">
        <f>+'Excercise 6 - Closed Claim LDFs'!B13/'Exercise 6 -  Report Claim LDFs'!B13</f>
        <v>0.75116180819602874</v>
      </c>
      <c r="C13" s="323">
        <f>+'Excercise 6 - Closed Claim LDFs'!C13/'Exercise 6 -  Report Claim LDFs'!C13</f>
        <v>0.88508064516129037</v>
      </c>
      <c r="D13" s="323">
        <f>+'Excercise 6 - Closed Claim LDFs'!D13/'Exercise 6 -  Report Claim LDFs'!D13</f>
        <v>0.92487804878048785</v>
      </c>
      <c r="E13" s="323">
        <f>+'Excercise 6 - Closed Claim LDFs'!E13/'Exercise 6 -  Report Claim LDFs'!E13</f>
        <v>0.95570643388296161</v>
      </c>
      <c r="F13" s="323">
        <f>+'Excercise 6 - Closed Claim LDFs'!F13/'Exercise 6 -  Report Claim LDFs'!F13</f>
        <v>0.97816313423249845</v>
      </c>
      <c r="G13" s="323">
        <f>+'Excercise 6 - Closed Claim LDFs'!G13/'Exercise 6 -  Report Claim LDFs'!G13</f>
        <v>0.9906961822264998</v>
      </c>
      <c r="H13" s="323">
        <f>+'Excercise 6 - Closed Claim LDFs'!H13/'Exercise 6 -  Report Claim LDFs'!H13</f>
        <v>0.99454603785691365</v>
      </c>
      <c r="I13" s="323">
        <f>+'Excercise 6 - Closed Claim LDFs'!I13/'Exercise 6 -  Report Claim LDFs'!I13</f>
        <v>0.99871794871794883</v>
      </c>
      <c r="J13" s="323">
        <f>+'Excercise 6 - Closed Claim LDFs'!J13/'Exercise 6 -  Report Claim LDFs'!J13</f>
        <v>0.99744081893793979</v>
      </c>
      <c r="K13" s="323">
        <f>+'Excercise 6 - Closed Claim LDFs'!K13/'Exercise 6 -  Report Claim LDFs'!K13</f>
        <v>0.99680715197956582</v>
      </c>
      <c r="L13" s="323">
        <f>+'Excercise 6 - Closed Claim LDFs'!L13/'Exercise 6 -  Report Claim LDFs'!L13</f>
        <v>0.99936143039591308</v>
      </c>
      <c r="M13" s="323">
        <f>+'Excercise 6 - Closed Claim LDFs'!M13/'Exercise 6 -  Report Claim LDFs'!M13</f>
        <v>1</v>
      </c>
      <c r="N13" s="323">
        <f>+'Excercise 6 - Closed Claim LDFs'!N13/'Exercise 6 -  Report Claim LDFs'!N13</f>
        <v>1</v>
      </c>
      <c r="O13" s="323">
        <f>+'Excercise 6 - Closed Claim LDFs'!O13/'Exercise 6 -  Report Claim LDFs'!O13</f>
        <v>1</v>
      </c>
      <c r="P13" s="323">
        <f>+'Excercise 6 - Closed Claim LDFs'!P13/'Exercise 6 -  Report Claim LDFs'!P13</f>
        <v>1</v>
      </c>
      <c r="Q13" s="48"/>
    </row>
    <row r="14" spans="1:17">
      <c r="A14" s="49">
        <f t="shared" si="1"/>
        <v>2003</v>
      </c>
      <c r="B14" s="323">
        <f>+'Excercise 6 - Closed Claim LDFs'!B14/'Exercise 6 -  Report Claim LDFs'!B14</f>
        <v>0.75120772946859904</v>
      </c>
      <c r="C14" s="323">
        <f>+'Excercise 6 - Closed Claim LDFs'!C14/'Exercise 6 -  Report Claim LDFs'!C14</f>
        <v>0.90204081632653066</v>
      </c>
      <c r="D14" s="323">
        <f>+'Excercise 6 - Closed Claim LDFs'!D14/'Exercise 6 -  Report Claim LDFs'!D14</f>
        <v>0.94302554027504915</v>
      </c>
      <c r="E14" s="323">
        <f>+'Excercise 6 - Closed Claim LDFs'!E14/'Exercise 6 -  Report Claim LDFs'!E14</f>
        <v>0.96724470134874763</v>
      </c>
      <c r="F14" s="323">
        <f>+'Excercise 6 - Closed Claim LDFs'!F14/'Exercise 6 -  Report Claim LDFs'!F14</f>
        <v>0.97523809523809524</v>
      </c>
      <c r="G14" s="323">
        <f>+'Excercise 6 - Closed Claim LDFs'!G14/'Exercise 6 -  Report Claim LDFs'!G14</f>
        <v>0.98857142857142855</v>
      </c>
      <c r="H14" s="323">
        <f>+'Excercise 6 - Closed Claim LDFs'!H14/'Exercise 6 -  Report Claim LDFs'!H14</f>
        <v>0.99047619047619051</v>
      </c>
      <c r="I14" s="323">
        <f>+'Excercise 6 - Closed Claim LDFs'!I14/'Exercise 6 -  Report Claim LDFs'!I14</f>
        <v>0.99429657794676807</v>
      </c>
      <c r="J14" s="323">
        <f>+'Excercise 6 - Closed Claim LDFs'!J14/'Exercise 6 -  Report Claim LDFs'!J14</f>
        <v>0.99429657794676807</v>
      </c>
      <c r="K14" s="323">
        <f>+'Excercise 6 - Closed Claim LDFs'!K14/'Exercise 6 -  Report Claim LDFs'!K14</f>
        <v>0.99429657794676807</v>
      </c>
      <c r="L14" s="323">
        <f>+'Excercise 6 - Closed Claim LDFs'!L14/'Exercise 6 -  Report Claim LDFs'!L14</f>
        <v>0.9943074003795066</v>
      </c>
      <c r="M14" s="323">
        <f>+'Excercise 6 - Closed Claim LDFs'!M14/'Exercise 6 -  Report Claim LDFs'!M14</f>
        <v>0.9943074003795066</v>
      </c>
      <c r="N14" s="323">
        <f>+'Excercise 6 - Closed Claim LDFs'!N14/'Exercise 6 -  Report Claim LDFs'!N14</f>
        <v>0.99431818181818177</v>
      </c>
      <c r="O14" s="323">
        <f>+'Excercise 6 - Closed Claim LDFs'!O14/'Exercise 6 -  Report Claim LDFs'!O14</f>
        <v>0.99621212121212122</v>
      </c>
      <c r="P14" s="130"/>
      <c r="Q14" s="48"/>
    </row>
    <row r="15" spans="1:17">
      <c r="A15" s="49">
        <f t="shared" si="1"/>
        <v>2004</v>
      </c>
      <c r="B15" s="323">
        <f>+'Excercise 6 - Closed Claim LDFs'!B15/'Exercise 6 -  Report Claim LDFs'!B15</f>
        <v>0.72538860103626945</v>
      </c>
      <c r="C15" s="323">
        <f>+'Excercise 6 - Closed Claim LDFs'!C15/'Exercise 6 -  Report Claim LDFs'!C15</f>
        <v>0.88589211618257258</v>
      </c>
      <c r="D15" s="323">
        <f>+'Excercise 6 - Closed Claim LDFs'!D15/'Exercise 6 -  Report Claim LDFs'!D15</f>
        <v>0.9189723320158103</v>
      </c>
      <c r="E15" s="323">
        <f>+'Excercise 6 - Closed Claim LDFs'!E15/'Exercise 6 -  Report Claim LDFs'!E15</f>
        <v>0.94313725490196076</v>
      </c>
      <c r="F15" s="323">
        <f>+'Excercise 6 - Closed Claim LDFs'!F15/'Exercise 6 -  Report Claim LDFs'!F15</f>
        <v>0.9765625</v>
      </c>
      <c r="G15" s="323">
        <f>+'Excercise 6 - Closed Claim LDFs'!G15/'Exercise 6 -  Report Claim LDFs'!G15</f>
        <v>0.99025341130604283</v>
      </c>
      <c r="H15" s="323">
        <f>+'Excercise 6 - Closed Claim LDFs'!H15/'Exercise 6 -  Report Claim LDFs'!H15</f>
        <v>0.99415204678362568</v>
      </c>
      <c r="I15" s="323">
        <f>+'Excercise 6 - Closed Claim LDFs'!I15/'Exercise 6 -  Report Claim LDFs'!I15</f>
        <v>0.99805068226120852</v>
      </c>
      <c r="J15" s="323">
        <f>+'Excercise 6 - Closed Claim LDFs'!J15/'Exercise 6 -  Report Claim LDFs'!J15</f>
        <v>0.99805068226120852</v>
      </c>
      <c r="K15" s="323">
        <f>+'Excercise 6 - Closed Claim LDFs'!K15/'Exercise 6 -  Report Claim LDFs'!K15</f>
        <v>0.99610894941634243</v>
      </c>
      <c r="L15" s="323">
        <f>+'Excercise 6 - Closed Claim LDFs'!L15/'Exercise 6 -  Report Claim LDFs'!L15</f>
        <v>0.99610894941634243</v>
      </c>
      <c r="M15" s="323">
        <f>+'Excercise 6 - Closed Claim LDFs'!M15/'Exercise 6 -  Report Claim LDFs'!M15</f>
        <v>0.99805447470817121</v>
      </c>
      <c r="N15" s="323">
        <f>+'Excercise 6 - Closed Claim LDFs'!N15/'Exercise 6 -  Report Claim LDFs'!N15</f>
        <v>0.99805447470817121</v>
      </c>
      <c r="O15" s="130"/>
      <c r="P15" s="130"/>
      <c r="Q15" s="48"/>
    </row>
    <row r="16" spans="1:17">
      <c r="A16" s="49">
        <f t="shared" si="1"/>
        <v>2005</v>
      </c>
      <c r="B16" s="323">
        <f>+'Excercise 6 - Closed Claim LDFs'!B16/'Exercise 6 -  Report Claim LDFs'!B16</f>
        <v>0.73945409429280395</v>
      </c>
      <c r="C16" s="323">
        <f>+'Excercise 6 - Closed Claim LDFs'!C16/'Exercise 6 -  Report Claim LDFs'!C16</f>
        <v>0.8784313725490196</v>
      </c>
      <c r="D16" s="323">
        <f>+'Excercise 6 - Closed Claim LDFs'!D16/'Exercise 6 -  Report Claim LDFs'!D16</f>
        <v>0.91907514450867056</v>
      </c>
      <c r="E16" s="323">
        <f>+'Excercise 6 - Closed Claim LDFs'!E16/'Exercise 6 -  Report Claim LDFs'!E16</f>
        <v>0.9500959692898272</v>
      </c>
      <c r="F16" s="323">
        <f>+'Excercise 6 - Closed Claim LDFs'!F16/'Exercise 6 -  Report Claim LDFs'!F16</f>
        <v>0.97148288973384034</v>
      </c>
      <c r="G16" s="323">
        <f>+'Excercise 6 - Closed Claim LDFs'!G16/'Exercise 6 -  Report Claim LDFs'!G16</f>
        <v>0.9828897338403042</v>
      </c>
      <c r="H16" s="323">
        <f>+'Excercise 6 - Closed Claim LDFs'!H16/'Exercise 6 -  Report Claim LDFs'!H16</f>
        <v>0.98859315589353614</v>
      </c>
      <c r="I16" s="323">
        <f>+'Excercise 6 - Closed Claim LDFs'!I16/'Exercise 6 -  Report Claim LDFs'!I16</f>
        <v>0.99240986717267554</v>
      </c>
      <c r="J16" s="323">
        <f>+'Excercise 6 - Closed Claim LDFs'!J16/'Exercise 6 -  Report Claim LDFs'!J16</f>
        <v>0.99054820415879019</v>
      </c>
      <c r="K16" s="323">
        <f>+'Excercise 6 - Closed Claim LDFs'!K16/'Exercise 6 -  Report Claim LDFs'!K16</f>
        <v>0.99245283018867925</v>
      </c>
      <c r="L16" s="323">
        <f>+'Excercise 6 - Closed Claim LDFs'!L16/'Exercise 6 -  Report Claim LDFs'!L16</f>
        <v>0.99811320754716981</v>
      </c>
      <c r="M16" s="323">
        <f>+'Excercise 6 - Closed Claim LDFs'!M16/'Exercise 6 -  Report Claim LDFs'!M16</f>
        <v>0.99811320754716981</v>
      </c>
      <c r="N16" s="130"/>
      <c r="O16" s="130"/>
      <c r="P16" s="130"/>
      <c r="Q16" s="48"/>
    </row>
    <row r="17" spans="1:17">
      <c r="A17" s="49">
        <f t="shared" si="1"/>
        <v>2006</v>
      </c>
      <c r="B17" s="323">
        <f>+'Excercise 6 - Closed Claim LDFs'!B17/'Exercise 6 -  Report Claim LDFs'!B17</f>
        <v>0.78691983122362874</v>
      </c>
      <c r="C17" s="323">
        <f>+'Excercise 6 - Closed Claim LDFs'!C17/'Exercise 6 -  Report Claim LDFs'!C17</f>
        <v>0.91401869158878501</v>
      </c>
      <c r="D17" s="323">
        <f>+'Excercise 6 - Closed Claim LDFs'!D17/'Exercise 6 -  Report Claim LDFs'!D17</f>
        <v>0.92043399638336343</v>
      </c>
      <c r="E17" s="323">
        <f>+'Excercise 6 - Closed Claim LDFs'!E17/'Exercise 6 -  Report Claim LDFs'!E17</f>
        <v>0.9497307001795332</v>
      </c>
      <c r="F17" s="323">
        <f>+'Excercise 6 - Closed Claim LDFs'!F17/'Exercise 6 -  Report Claim LDFs'!F17</f>
        <v>0.9642857142857143</v>
      </c>
      <c r="G17" s="323">
        <f>+'Excercise 6 - Closed Claim LDFs'!G17/'Exercise 6 -  Report Claim LDFs'!G17</f>
        <v>0.97678571428571426</v>
      </c>
      <c r="H17" s="323">
        <f>+'Excercise 6 - Closed Claim LDFs'!H17/'Exercise 6 -  Report Claim LDFs'!H17</f>
        <v>0.98392857142857137</v>
      </c>
      <c r="I17" s="323">
        <f>+'Excercise 6 - Closed Claim LDFs'!I17/'Exercise 6 -  Report Claim LDFs'!I17</f>
        <v>0.9910873440285205</v>
      </c>
      <c r="J17" s="323">
        <f>+'Excercise 6 - Closed Claim LDFs'!J17/'Exercise 6 -  Report Claim LDFs'!J17</f>
        <v>0.99110320284697506</v>
      </c>
      <c r="K17" s="323">
        <f>+'Excercise 6 - Closed Claim LDFs'!K17/'Exercise 6 -  Report Claim LDFs'!K17</f>
        <v>0.98398576512455516</v>
      </c>
      <c r="L17" s="323">
        <f>+'Excercise 6 - Closed Claim LDFs'!L17/'Exercise 6 -  Report Claim LDFs'!L17</f>
        <v>0.98576512455516019</v>
      </c>
      <c r="M17" s="130"/>
      <c r="N17" s="130"/>
      <c r="O17" s="130"/>
      <c r="P17" s="130"/>
      <c r="Q17" s="48"/>
    </row>
    <row r="18" spans="1:17">
      <c r="A18" s="49">
        <f t="shared" si="1"/>
        <v>2007</v>
      </c>
      <c r="B18" s="323">
        <f>+'Excercise 6 - Closed Claim LDFs'!B18/'Exercise 6 -  Report Claim LDFs'!B18</f>
        <v>0.77126099706744866</v>
      </c>
      <c r="C18" s="323">
        <f>+'Excercise 6 - Closed Claim LDFs'!C18/'Exercise 6 -  Report Claim LDFs'!C18</f>
        <v>0.91666666666666663</v>
      </c>
      <c r="D18" s="323">
        <f>+'Excercise 6 - Closed Claim LDFs'!D18/'Exercise 6 -  Report Claim LDFs'!D18</f>
        <v>0.94312796208530802</v>
      </c>
      <c r="E18" s="323">
        <f>+'Excercise 6 - Closed Claim LDFs'!E18/'Exercise 6 -  Report Claim LDFs'!E18</f>
        <v>0.95560747663551404</v>
      </c>
      <c r="F18" s="323">
        <f>+'Excercise 6 - Closed Claim LDFs'!F18/'Exercise 6 -  Report Claim LDFs'!F18</f>
        <v>0.97921478060046185</v>
      </c>
      <c r="G18" s="323">
        <f>+'Excercise 6 - Closed Claim LDFs'!G18/'Exercise 6 -  Report Claim LDFs'!G18</f>
        <v>0.99307159353348728</v>
      </c>
      <c r="H18" s="323">
        <f>+'Excercise 6 - Closed Claim LDFs'!H18/'Exercise 6 -  Report Claim LDFs'!H18</f>
        <v>0.99308755760368661</v>
      </c>
      <c r="I18" s="323">
        <f>+'Excercise 6 - Closed Claim LDFs'!I18/'Exercise 6 -  Report Claim LDFs'!I18</f>
        <v>0.99308755760368661</v>
      </c>
      <c r="J18" s="323">
        <f>+'Excercise 6 - Closed Claim LDFs'!J18/'Exercise 6 -  Report Claim LDFs'!J18</f>
        <v>0.99769585253456217</v>
      </c>
      <c r="K18" s="323">
        <f>+'Excercise 6 - Closed Claim LDFs'!K18/'Exercise 6 -  Report Claim LDFs'!K18</f>
        <v>0.99769585253456217</v>
      </c>
      <c r="L18" s="130"/>
      <c r="M18" s="130"/>
      <c r="N18" s="130"/>
      <c r="O18" s="130"/>
      <c r="P18" s="130"/>
    </row>
    <row r="19" spans="1:17">
      <c r="A19" s="49">
        <f t="shared" si="1"/>
        <v>2008</v>
      </c>
      <c r="B19" s="323">
        <f>+'Excercise 6 - Closed Claim LDFs'!B19/'Exercise 6 -  Report Claim LDFs'!B19</f>
        <v>0.73913043478260865</v>
      </c>
      <c r="C19" s="323">
        <f>+'Excercise 6 - Closed Claim LDFs'!C19/'Exercise 6 -  Report Claim LDFs'!C19</f>
        <v>0.90497737556561086</v>
      </c>
      <c r="D19" s="323">
        <f>+'Excercise 6 - Closed Claim LDFs'!D19/'Exercise 6 -  Report Claim LDFs'!D19</f>
        <v>0.93073593073593075</v>
      </c>
      <c r="E19" s="323">
        <f>+'Excercise 6 - Closed Claim LDFs'!E19/'Exercise 6 -  Report Claim LDFs'!E19</f>
        <v>0.96137339055793991</v>
      </c>
      <c r="F19" s="323">
        <f>+'Excercise 6 - Closed Claim LDFs'!F19/'Exercise 6 -  Report Claim LDFs'!F19</f>
        <v>0.97234042553191491</v>
      </c>
      <c r="G19" s="323">
        <f>+'Excercise 6 - Closed Claim LDFs'!G19/'Exercise 6 -  Report Claim LDFs'!G19</f>
        <v>0.9851380042462845</v>
      </c>
      <c r="H19" s="323">
        <f>+'Excercise 6 - Closed Claim LDFs'!H19/'Exercise 6 -  Report Claim LDFs'!H19</f>
        <v>0.98940677966101698</v>
      </c>
      <c r="I19" s="323">
        <f>+'Excercise 6 - Closed Claim LDFs'!I19/'Exercise 6 -  Report Claim LDFs'!I19</f>
        <v>1</v>
      </c>
      <c r="J19" s="323">
        <f>+'Excercise 6 - Closed Claim LDFs'!J19/'Exercise 6 -  Report Claim LDFs'!J19</f>
        <v>1</v>
      </c>
      <c r="K19" s="130"/>
      <c r="L19" s="130"/>
      <c r="M19" s="130"/>
      <c r="N19" s="130"/>
      <c r="O19" s="130"/>
      <c r="P19" s="130"/>
    </row>
    <row r="20" spans="1:17">
      <c r="A20" s="49">
        <f t="shared" si="1"/>
        <v>2009</v>
      </c>
      <c r="B20" s="323">
        <f>+'Excercise 6 - Closed Claim LDFs'!B20/'Exercise 6 -  Report Claim LDFs'!B20</f>
        <v>0.76726342710997442</v>
      </c>
      <c r="C20" s="323">
        <f>+'Excercise 6 - Closed Claim LDFs'!C20/'Exercise 6 -  Report Claim LDFs'!C20</f>
        <v>0.92887931034482762</v>
      </c>
      <c r="D20" s="323">
        <f>+'Excercise 6 - Closed Claim LDFs'!D20/'Exercise 6 -  Report Claim LDFs'!D20</f>
        <v>0.96465696465696471</v>
      </c>
      <c r="E20" s="323">
        <f>+'Excercise 6 - Closed Claim LDFs'!E20/'Exercise 6 -  Report Claim LDFs'!E20</f>
        <v>0.96761133603238869</v>
      </c>
      <c r="F20" s="323">
        <f>+'Excercise 6 - Closed Claim LDFs'!F20/'Exercise 6 -  Report Claim LDFs'!F20</f>
        <v>0.98393574297188757</v>
      </c>
      <c r="G20" s="323">
        <f>+'Excercise 6 - Closed Claim LDFs'!G20/'Exercise 6 -  Report Claim LDFs'!G20</f>
        <v>0.98399999999999999</v>
      </c>
      <c r="H20" s="323">
        <f>+'Excercise 6 - Closed Claim LDFs'!H20/'Exercise 6 -  Report Claim LDFs'!H20</f>
        <v>0.99399999999999999</v>
      </c>
      <c r="I20" s="323">
        <f>+'Excercise 6 - Closed Claim LDFs'!I20/'Exercise 6 -  Report Claim LDFs'!I20</f>
        <v>0.99201596806387227</v>
      </c>
      <c r="J20" s="130"/>
      <c r="K20" s="130"/>
      <c r="L20" s="130"/>
      <c r="M20" s="130"/>
      <c r="N20" s="130"/>
      <c r="O20" s="130"/>
      <c r="P20" s="130"/>
    </row>
    <row r="21" spans="1:17">
      <c r="A21" s="49">
        <f t="shared" si="1"/>
        <v>2010</v>
      </c>
      <c r="B21" s="323">
        <f>+'Excercise 6 - Closed Claim LDFs'!B21/'Exercise 6 -  Report Claim LDFs'!B21</f>
        <v>0.73366834170854267</v>
      </c>
      <c r="C21" s="323">
        <f>+'Excercise 6 - Closed Claim LDFs'!C21/'Exercise 6 -  Report Claim LDFs'!C21</f>
        <v>0.90927835051546391</v>
      </c>
      <c r="D21" s="323">
        <f>+'Excercise 6 - Closed Claim LDFs'!D21/'Exercise 6 -  Report Claim LDFs'!D21</f>
        <v>0.93548387096774188</v>
      </c>
      <c r="E21" s="323">
        <f>+'Excercise 6 - Closed Claim LDFs'!E21/'Exercise 6 -  Report Claim LDFs'!E21</f>
        <v>0.96222664015904569</v>
      </c>
      <c r="F21" s="323">
        <f>+'Excercise 6 - Closed Claim LDFs'!F21/'Exercise 6 -  Report Claim LDFs'!F21</f>
        <v>0.9782178217821782</v>
      </c>
      <c r="G21" s="323">
        <f>+'Excercise 6 - Closed Claim LDFs'!G21/'Exercise 6 -  Report Claim LDFs'!G21</f>
        <v>0.98418972332015808</v>
      </c>
      <c r="H21" s="323">
        <f>+'Excercise 6 - Closed Claim LDFs'!H21/'Exercise 6 -  Report Claim LDFs'!H21</f>
        <v>0.98619329388560162</v>
      </c>
      <c r="I21" s="130"/>
      <c r="J21" s="130"/>
      <c r="K21" s="130"/>
      <c r="L21" s="130"/>
      <c r="M21" s="130"/>
      <c r="N21" s="130"/>
      <c r="O21" s="130"/>
      <c r="P21" s="130"/>
    </row>
    <row r="22" spans="1:17">
      <c r="A22" s="49">
        <f t="shared" si="1"/>
        <v>2011</v>
      </c>
      <c r="B22" s="323">
        <f>+'Excercise 6 - Closed Claim LDFs'!B22/'Exercise 6 -  Report Claim LDFs'!B22</f>
        <v>0.65527065527065531</v>
      </c>
      <c r="C22" s="323">
        <f>+'Excercise 6 - Closed Claim LDFs'!C22/'Exercise 6 -  Report Claim LDFs'!C22</f>
        <v>0.89150943396226412</v>
      </c>
      <c r="D22" s="323">
        <f>+'Excercise 6 - Closed Claim LDFs'!D22/'Exercise 6 -  Report Claim LDFs'!D22</f>
        <v>0.91855203619909498</v>
      </c>
      <c r="E22" s="323">
        <f>+'Excercise 6 - Closed Claim LDFs'!E22/'Exercise 6 -  Report Claim LDFs'!E22</f>
        <v>0.94209354120267264</v>
      </c>
      <c r="F22" s="323">
        <f>+'Excercise 6 - Closed Claim LDFs'!F22/'Exercise 6 -  Report Claim LDFs'!F22</f>
        <v>0.97571743929359822</v>
      </c>
      <c r="G22" s="323">
        <f>+'Excercise 6 - Closed Claim LDFs'!G22/'Exercise 6 -  Report Claim LDFs'!G22</f>
        <v>0.98233995584988965</v>
      </c>
      <c r="H22" s="130"/>
      <c r="I22" s="130"/>
      <c r="J22" s="130"/>
      <c r="K22" s="130"/>
      <c r="L22" s="130"/>
      <c r="M22" s="130"/>
      <c r="N22" s="130"/>
      <c r="O22" s="130"/>
      <c r="P22" s="130"/>
    </row>
    <row r="23" spans="1:17">
      <c r="A23" s="49">
        <f t="shared" si="1"/>
        <v>2012</v>
      </c>
      <c r="B23" s="323">
        <f>+'Excercise 6 - Closed Claim LDFs'!B23/'Exercise 6 -  Report Claim LDFs'!B23</f>
        <v>0.76633165829145733</v>
      </c>
      <c r="C23" s="323">
        <f>+'Excercise 6 - Closed Claim LDFs'!C23/'Exercise 6 -  Report Claim LDFs'!C23</f>
        <v>0.93234672304439747</v>
      </c>
      <c r="D23" s="323">
        <f>+'Excercise 6 - Closed Claim LDFs'!D23/'Exercise 6 -  Report Claim LDFs'!D23</f>
        <v>0.94467213114754101</v>
      </c>
      <c r="E23" s="323">
        <f>+'Excercise 6 - Closed Claim LDFs'!E23/'Exercise 6 -  Report Claim LDFs'!E23</f>
        <v>0.95740365111561865</v>
      </c>
      <c r="F23" s="323">
        <f>+'Excercise 6 - Closed Claim LDFs'!F23/'Exercise 6 -  Report Claim LDFs'!F23</f>
        <v>0.97373737373737379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0"/>
    </row>
    <row r="24" spans="1:17">
      <c r="A24" s="49">
        <f t="shared" si="1"/>
        <v>2013</v>
      </c>
      <c r="B24" s="323">
        <f>+'Excercise 6 - Closed Claim LDFs'!B24/'Exercise 6 -  Report Claim LDFs'!B24</f>
        <v>0.73579545454545459</v>
      </c>
      <c r="C24" s="323">
        <f>+'Excercise 6 - Closed Claim LDFs'!C24/'Exercise 6 -  Report Claim LDFs'!C24</f>
        <v>0.91628959276018096</v>
      </c>
      <c r="D24" s="323">
        <f>+'Excercise 6 - Closed Claim LDFs'!D24/'Exercise 6 -  Report Claim LDFs'!D24</f>
        <v>0.94360086767895879</v>
      </c>
      <c r="E24" s="323">
        <f>+'Excercise 6 - Closed Claim LDFs'!E24/'Exercise 6 -  Report Claim LDFs'!E24</f>
        <v>0.95966029723991508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</row>
    <row r="25" spans="1:17">
      <c r="A25" s="49">
        <f t="shared" si="1"/>
        <v>2014</v>
      </c>
      <c r="B25" s="323">
        <f>+'Excercise 6 - Closed Claim LDFs'!B25/'Exercise 6 -  Report Claim LDFs'!B25</f>
        <v>0.65469613259668513</v>
      </c>
      <c r="C25" s="323">
        <f>+'Excercise 6 - Closed Claim LDFs'!C25/'Exercise 6 -  Report Claim LDFs'!C25</f>
        <v>0.8666666666666667</v>
      </c>
      <c r="D25" s="323">
        <f>+'Excercise 6 - Closed Claim LDFs'!D25/'Exercise 6 -  Report Claim LDFs'!D25</f>
        <v>0.92170022371364657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1:17">
      <c r="A26" s="49">
        <f>+A27-1</f>
        <v>2015</v>
      </c>
      <c r="B26" s="323">
        <f>+'Excercise 6 - Closed Claim LDFs'!B26/'Exercise 6 -  Report Claim LDFs'!B26</f>
        <v>0.6676923076923077</v>
      </c>
      <c r="C26" s="323">
        <f>+'Excercise 6 - Closed Claim LDFs'!C26/'Exercise 6 -  Report Claim LDFs'!C26</f>
        <v>0.90206185567010311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</row>
    <row r="27" spans="1:17">
      <c r="A27" s="51">
        <f>+EndYear</f>
        <v>2016</v>
      </c>
      <c r="B27" s="323">
        <f>+'Excercise 6 - Closed Claim LDFs'!B27/'Exercise 6 -  Report Claim LDFs'!B27</f>
        <v>0.71475409836065573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</row>
    <row r="28" spans="1:17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17">
      <c r="B29" s="303" t="s">
        <v>156</v>
      </c>
    </row>
    <row r="30" spans="1:17">
      <c r="B30" s="303"/>
    </row>
    <row r="31" spans="1:17">
      <c r="B31" s="303"/>
    </row>
    <row r="32" spans="1:17">
      <c r="B32" s="303"/>
    </row>
    <row r="33" spans="2:2">
      <c r="B33" s="303"/>
    </row>
    <row r="34" spans="2:2">
      <c r="B34" s="303"/>
    </row>
    <row r="35" spans="2:2">
      <c r="B35" s="303"/>
    </row>
    <row r="36" spans="2:2">
      <c r="B36" s="303"/>
    </row>
    <row r="37" spans="2:2">
      <c r="B37" s="303"/>
    </row>
    <row r="38" spans="2:2">
      <c r="B38" s="303"/>
    </row>
    <row r="39" spans="2:2">
      <c r="B39" s="303"/>
    </row>
    <row r="40" spans="2:2">
      <c r="B40" s="303"/>
    </row>
    <row r="41" spans="2:2">
      <c r="B41" s="303"/>
    </row>
    <row r="42" spans="2:2">
      <c r="B42" s="303"/>
    </row>
    <row r="43" spans="2:2">
      <c r="B43" s="303"/>
    </row>
    <row r="44" spans="2:2">
      <c r="B44" s="303"/>
    </row>
    <row r="45" spans="2:2">
      <c r="B45" s="303"/>
    </row>
    <row r="46" spans="2:2">
      <c r="B46" s="303"/>
    </row>
    <row r="47" spans="2:2">
      <c r="B47" s="303"/>
    </row>
    <row r="48" spans="2:2">
      <c r="B48" s="303"/>
    </row>
    <row r="49" spans="2:2">
      <c r="B49" s="303"/>
    </row>
    <row r="50" spans="2:2">
      <c r="B50" s="303"/>
    </row>
    <row r="51" spans="2:2">
      <c r="B51" s="303"/>
    </row>
    <row r="52" spans="2:2">
      <c r="B52" s="303"/>
    </row>
    <row r="53" spans="2:2">
      <c r="B53" s="303"/>
    </row>
    <row r="54" spans="2:2">
      <c r="B54" s="303"/>
    </row>
    <row r="55" spans="2:2">
      <c r="B55" s="303"/>
    </row>
    <row r="56" spans="2:2">
      <c r="B56" s="303"/>
    </row>
    <row r="57" spans="2:2">
      <c r="B57" s="303"/>
    </row>
    <row r="58" spans="2:2">
      <c r="B58" s="303"/>
    </row>
    <row r="59" spans="2:2">
      <c r="B59" s="303"/>
    </row>
    <row r="60" spans="2:2">
      <c r="B60" s="303"/>
    </row>
    <row r="61" spans="2:2">
      <c r="B61" s="303"/>
    </row>
    <row r="62" spans="2:2">
      <c r="B62" s="303"/>
    </row>
    <row r="63" spans="2:2">
      <c r="B63" s="303"/>
    </row>
    <row r="64" spans="2:2">
      <c r="B64" s="303"/>
    </row>
    <row r="65" spans="2:2">
      <c r="B65" s="303"/>
    </row>
    <row r="66" spans="2:2">
      <c r="B66" s="303"/>
    </row>
    <row r="67" spans="2:2">
      <c r="B67" s="303"/>
    </row>
    <row r="68" spans="2:2">
      <c r="B68" s="303"/>
    </row>
    <row r="69" spans="2:2">
      <c r="B69" s="303"/>
    </row>
    <row r="70" spans="2:2">
      <c r="B70" s="303"/>
    </row>
    <row r="71" spans="2:2">
      <c r="B71" s="303"/>
    </row>
    <row r="72" spans="2:2">
      <c r="B72" s="303"/>
    </row>
    <row r="73" spans="2:2">
      <c r="B73" s="303"/>
    </row>
    <row r="74" spans="2:2">
      <c r="B74" s="303"/>
    </row>
    <row r="75" spans="2:2">
      <c r="B75" s="303"/>
    </row>
    <row r="76" spans="2:2">
      <c r="B76" s="303"/>
    </row>
    <row r="77" spans="2:2">
      <c r="B77" s="303"/>
    </row>
    <row r="78" spans="2:2">
      <c r="B78" s="303"/>
    </row>
    <row r="79" spans="2:2">
      <c r="B79" s="303"/>
    </row>
    <row r="80" spans="2:2">
      <c r="B80" s="303"/>
    </row>
    <row r="81" spans="2:2">
      <c r="B81" s="303"/>
    </row>
    <row r="82" spans="2:2">
      <c r="B82" s="303"/>
    </row>
    <row r="83" spans="2:2">
      <c r="B83" s="303"/>
    </row>
    <row r="84" spans="2:2">
      <c r="B84" s="303"/>
    </row>
    <row r="85" spans="2:2">
      <c r="B85" s="303"/>
    </row>
    <row r="86" spans="2:2">
      <c r="B86" s="303"/>
    </row>
    <row r="87" spans="2:2">
      <c r="B87" s="303"/>
    </row>
    <row r="88" spans="2:2">
      <c r="B88" s="303"/>
    </row>
    <row r="89" spans="2:2">
      <c r="B89" s="303"/>
    </row>
    <row r="90" spans="2:2">
      <c r="B90" s="303"/>
    </row>
    <row r="91" spans="2:2">
      <c r="B91" s="303"/>
    </row>
    <row r="92" spans="2:2">
      <c r="B92" s="303"/>
    </row>
    <row r="93" spans="2:2">
      <c r="B93" s="303"/>
    </row>
    <row r="94" spans="2:2">
      <c r="B94" s="303"/>
    </row>
    <row r="95" spans="2:2">
      <c r="B95" s="303"/>
    </row>
    <row r="96" spans="2:2">
      <c r="B96" s="303"/>
    </row>
    <row r="97" spans="2:16">
      <c r="B97" s="303"/>
    </row>
    <row r="98" spans="2:16">
      <c r="B98" s="303"/>
    </row>
    <row r="99" spans="2:16">
      <c r="B99" s="303"/>
    </row>
    <row r="100" spans="2:16">
      <c r="B100" s="303"/>
    </row>
    <row r="101" spans="2:16">
      <c r="B101" s="303"/>
    </row>
    <row r="102" spans="2:16">
      <c r="B102" s="303"/>
    </row>
    <row r="103" spans="2:16">
      <c r="B103" s="303"/>
    </row>
    <row r="104" spans="2:16">
      <c r="B104" s="303"/>
    </row>
    <row r="105" spans="2:16">
      <c r="B105" s="303"/>
    </row>
    <row r="106" spans="2:16">
      <c r="B106" s="303"/>
    </row>
    <row r="107" spans="2:16">
      <c r="B107" s="303"/>
    </row>
    <row r="108" spans="2:16">
      <c r="B108" s="303"/>
    </row>
    <row r="109" spans="2:16">
      <c r="B109" s="303"/>
    </row>
    <row r="112" spans="2:16">
      <c r="B112" s="125">
        <f>+'Excercise 6 - Closed Claim LDFs'!B13/'Exercise 6 -  Report Claim LDFs'!B13</f>
        <v>0.75116180819602874</v>
      </c>
      <c r="C112" s="125">
        <f>+'Excercise 6 - Closed Claim LDFs'!C13/'Exercise 6 -  Report Claim LDFs'!C13</f>
        <v>0.88508064516129037</v>
      </c>
      <c r="D112" s="125">
        <f>+'Excercise 6 - Closed Claim LDFs'!D13/'Exercise 6 -  Report Claim LDFs'!D13</f>
        <v>0.92487804878048785</v>
      </c>
      <c r="E112" s="125">
        <f>+'Excercise 6 - Closed Claim LDFs'!E13/'Exercise 6 -  Report Claim LDFs'!E13</f>
        <v>0.95570643388296161</v>
      </c>
      <c r="F112" s="125">
        <f>+'Excercise 6 - Closed Claim LDFs'!F13/'Exercise 6 -  Report Claim LDFs'!F13</f>
        <v>0.97816313423249845</v>
      </c>
      <c r="G112" s="125">
        <f>+'Excercise 6 - Closed Claim LDFs'!G13/'Exercise 6 -  Report Claim LDFs'!G13</f>
        <v>0.9906961822264998</v>
      </c>
      <c r="H112" s="125">
        <f>+'Excercise 6 - Closed Claim LDFs'!H13/'Exercise 6 -  Report Claim LDFs'!H13</f>
        <v>0.99454603785691365</v>
      </c>
      <c r="I112" s="125">
        <f>+'Excercise 6 - Closed Claim LDFs'!I13/'Exercise 6 -  Report Claim LDFs'!I13</f>
        <v>0.99871794871794883</v>
      </c>
      <c r="J112" s="125">
        <f>+'Excercise 6 - Closed Claim LDFs'!J13/'Exercise 6 -  Report Claim LDFs'!J13</f>
        <v>0.99744081893793979</v>
      </c>
      <c r="K112" s="125">
        <f>+'Excercise 6 - Closed Claim LDFs'!K13/'Exercise 6 -  Report Claim LDFs'!K13</f>
        <v>0.99680715197956582</v>
      </c>
      <c r="L112" s="125">
        <f>+'Excercise 6 - Closed Claim LDFs'!L13/'Exercise 6 -  Report Claim LDFs'!L13</f>
        <v>0.99936143039591308</v>
      </c>
      <c r="M112" s="125">
        <f>+'Excercise 6 - Closed Claim LDFs'!M13/'Exercise 6 -  Report Claim LDFs'!M13</f>
        <v>1</v>
      </c>
      <c r="N112" s="125">
        <f>+'Excercise 6 - Closed Claim LDFs'!N13/'Exercise 6 -  Report Claim LDFs'!N13</f>
        <v>1</v>
      </c>
      <c r="O112" s="125">
        <f>+'Excercise 6 - Closed Claim LDFs'!O13/'Exercise 6 -  Report Claim LDFs'!O13</f>
        <v>1</v>
      </c>
      <c r="P112" s="125">
        <f>+'Excercise 6 - Closed Claim LDFs'!P13/'Exercise 6 -  Report Claim LDFs'!P13</f>
        <v>1</v>
      </c>
    </row>
    <row r="113" spans="2:16">
      <c r="B113" s="125">
        <f>+'Excercise 6 - Closed Claim LDFs'!B14/'Exercise 6 -  Report Claim LDFs'!B14</f>
        <v>0.75120772946859904</v>
      </c>
      <c r="C113" s="125">
        <f>+'Excercise 6 - Closed Claim LDFs'!C14/'Exercise 6 -  Report Claim LDFs'!C14</f>
        <v>0.90204081632653066</v>
      </c>
      <c r="D113" s="125">
        <f>+'Excercise 6 - Closed Claim LDFs'!D14/'Exercise 6 -  Report Claim LDFs'!D14</f>
        <v>0.94302554027504915</v>
      </c>
      <c r="E113" s="125">
        <f>+'Excercise 6 - Closed Claim LDFs'!E14/'Exercise 6 -  Report Claim LDFs'!E14</f>
        <v>0.96724470134874763</v>
      </c>
      <c r="F113" s="125">
        <f>+'Excercise 6 - Closed Claim LDFs'!F14/'Exercise 6 -  Report Claim LDFs'!F14</f>
        <v>0.97523809523809524</v>
      </c>
      <c r="G113" s="125">
        <f>+'Excercise 6 - Closed Claim LDFs'!G14/'Exercise 6 -  Report Claim LDFs'!G14</f>
        <v>0.98857142857142855</v>
      </c>
      <c r="H113" s="125">
        <f>+'Excercise 6 - Closed Claim LDFs'!H14/'Exercise 6 -  Report Claim LDFs'!H14</f>
        <v>0.99047619047619051</v>
      </c>
      <c r="I113" s="125">
        <f>+'Excercise 6 - Closed Claim LDFs'!I14/'Exercise 6 -  Report Claim LDFs'!I14</f>
        <v>0.99429657794676807</v>
      </c>
      <c r="J113" s="125">
        <f>+'Excercise 6 - Closed Claim LDFs'!J14/'Exercise 6 -  Report Claim LDFs'!J14</f>
        <v>0.99429657794676807</v>
      </c>
      <c r="K113" s="125">
        <f>+'Excercise 6 - Closed Claim LDFs'!K14/'Exercise 6 -  Report Claim LDFs'!K14</f>
        <v>0.99429657794676807</v>
      </c>
      <c r="L113" s="125">
        <f>+'Excercise 6 - Closed Claim LDFs'!L14/'Exercise 6 -  Report Claim LDFs'!L14</f>
        <v>0.9943074003795066</v>
      </c>
      <c r="M113" s="125">
        <f>+'Excercise 6 - Closed Claim LDFs'!M14/'Exercise 6 -  Report Claim LDFs'!M14</f>
        <v>0.9943074003795066</v>
      </c>
      <c r="N113" s="125">
        <f>+'Excercise 6 - Closed Claim LDFs'!N14/'Exercise 6 -  Report Claim LDFs'!N14</f>
        <v>0.99431818181818177</v>
      </c>
      <c r="O113" s="125">
        <f>+'Excercise 6 - Closed Claim LDFs'!O14/'Exercise 6 -  Report Claim LDFs'!O14</f>
        <v>0.99621212121212122</v>
      </c>
      <c r="P113" s="125"/>
    </row>
    <row r="114" spans="2:16">
      <c r="B114" s="125">
        <f>+'Excercise 6 - Closed Claim LDFs'!B15/'Exercise 6 -  Report Claim LDFs'!B15</f>
        <v>0.72538860103626945</v>
      </c>
      <c r="C114" s="125">
        <f>+'Excercise 6 - Closed Claim LDFs'!C15/'Exercise 6 -  Report Claim LDFs'!C15</f>
        <v>0.88589211618257258</v>
      </c>
      <c r="D114" s="125">
        <f>+'Excercise 6 - Closed Claim LDFs'!D15/'Exercise 6 -  Report Claim LDFs'!D15</f>
        <v>0.9189723320158103</v>
      </c>
      <c r="E114" s="125">
        <f>+'Excercise 6 - Closed Claim LDFs'!E15/'Exercise 6 -  Report Claim LDFs'!E15</f>
        <v>0.94313725490196076</v>
      </c>
      <c r="F114" s="125">
        <f>+'Excercise 6 - Closed Claim LDFs'!F15/'Exercise 6 -  Report Claim LDFs'!F15</f>
        <v>0.9765625</v>
      </c>
      <c r="G114" s="125">
        <f>+'Excercise 6 - Closed Claim LDFs'!G15/'Exercise 6 -  Report Claim LDFs'!G15</f>
        <v>0.99025341130604283</v>
      </c>
      <c r="H114" s="125">
        <f>+'Excercise 6 - Closed Claim LDFs'!H15/'Exercise 6 -  Report Claim LDFs'!H15</f>
        <v>0.99415204678362568</v>
      </c>
      <c r="I114" s="125">
        <f>+'Excercise 6 - Closed Claim LDFs'!I15/'Exercise 6 -  Report Claim LDFs'!I15</f>
        <v>0.99805068226120852</v>
      </c>
      <c r="J114" s="125">
        <f>+'Excercise 6 - Closed Claim LDFs'!J15/'Exercise 6 -  Report Claim LDFs'!J15</f>
        <v>0.99805068226120852</v>
      </c>
      <c r="K114" s="125">
        <f>+'Excercise 6 - Closed Claim LDFs'!K15/'Exercise 6 -  Report Claim LDFs'!K15</f>
        <v>0.99610894941634243</v>
      </c>
      <c r="L114" s="125">
        <f>+'Excercise 6 - Closed Claim LDFs'!L15/'Exercise 6 -  Report Claim LDFs'!L15</f>
        <v>0.99610894941634243</v>
      </c>
      <c r="M114" s="125">
        <f>+'Excercise 6 - Closed Claim LDFs'!M15/'Exercise 6 -  Report Claim LDFs'!M15</f>
        <v>0.99805447470817121</v>
      </c>
      <c r="N114" s="125">
        <f>+'Excercise 6 - Closed Claim LDFs'!N15/'Exercise 6 -  Report Claim LDFs'!N15</f>
        <v>0.99805447470817121</v>
      </c>
      <c r="O114" s="125"/>
      <c r="P114" s="125"/>
    </row>
    <row r="115" spans="2:16">
      <c r="B115" s="125">
        <f>+'Excercise 6 - Closed Claim LDFs'!B16/'Exercise 6 -  Report Claim LDFs'!B16</f>
        <v>0.73945409429280395</v>
      </c>
      <c r="C115" s="125">
        <f>+'Excercise 6 - Closed Claim LDFs'!C16/'Exercise 6 -  Report Claim LDFs'!C16</f>
        <v>0.8784313725490196</v>
      </c>
      <c r="D115" s="125">
        <f>+'Excercise 6 - Closed Claim LDFs'!D16/'Exercise 6 -  Report Claim LDFs'!D16</f>
        <v>0.91907514450867056</v>
      </c>
      <c r="E115" s="125">
        <f>+'Excercise 6 - Closed Claim LDFs'!E16/'Exercise 6 -  Report Claim LDFs'!E16</f>
        <v>0.9500959692898272</v>
      </c>
      <c r="F115" s="125">
        <f>+'Excercise 6 - Closed Claim LDFs'!F16/'Exercise 6 -  Report Claim LDFs'!F16</f>
        <v>0.97148288973384034</v>
      </c>
      <c r="G115" s="125">
        <f>+'Excercise 6 - Closed Claim LDFs'!G16/'Exercise 6 -  Report Claim LDFs'!G16</f>
        <v>0.9828897338403042</v>
      </c>
      <c r="H115" s="125">
        <f>+'Excercise 6 - Closed Claim LDFs'!H16/'Exercise 6 -  Report Claim LDFs'!H16</f>
        <v>0.98859315589353614</v>
      </c>
      <c r="I115" s="125">
        <f>+'Excercise 6 - Closed Claim LDFs'!I16/'Exercise 6 -  Report Claim LDFs'!I16</f>
        <v>0.99240986717267554</v>
      </c>
      <c r="J115" s="125">
        <f>+'Excercise 6 - Closed Claim LDFs'!J16/'Exercise 6 -  Report Claim LDFs'!J16</f>
        <v>0.99054820415879019</v>
      </c>
      <c r="K115" s="125">
        <f>+'Excercise 6 - Closed Claim LDFs'!K16/'Exercise 6 -  Report Claim LDFs'!K16</f>
        <v>0.99245283018867925</v>
      </c>
      <c r="L115" s="125">
        <f>+'Excercise 6 - Closed Claim LDFs'!L16/'Exercise 6 -  Report Claim LDFs'!L16</f>
        <v>0.99811320754716981</v>
      </c>
      <c r="M115" s="125">
        <f>+'Excercise 6 - Closed Claim LDFs'!M16/'Exercise 6 -  Report Claim LDFs'!M16</f>
        <v>0.99811320754716981</v>
      </c>
      <c r="N115" s="125"/>
      <c r="O115" s="125"/>
      <c r="P115" s="125"/>
    </row>
    <row r="116" spans="2:16">
      <c r="B116" s="125">
        <f>+'Excercise 6 - Closed Claim LDFs'!B17/'Exercise 6 -  Report Claim LDFs'!B17</f>
        <v>0.78691983122362874</v>
      </c>
      <c r="C116" s="125">
        <f>+'Excercise 6 - Closed Claim LDFs'!C17/'Exercise 6 -  Report Claim LDFs'!C17</f>
        <v>0.91401869158878501</v>
      </c>
      <c r="D116" s="125">
        <f>+'Excercise 6 - Closed Claim LDFs'!D17/'Exercise 6 -  Report Claim LDFs'!D17</f>
        <v>0.92043399638336343</v>
      </c>
      <c r="E116" s="125">
        <f>+'Excercise 6 - Closed Claim LDFs'!E17/'Exercise 6 -  Report Claim LDFs'!E17</f>
        <v>0.9497307001795332</v>
      </c>
      <c r="F116" s="125">
        <f>+'Excercise 6 - Closed Claim LDFs'!F17/'Exercise 6 -  Report Claim LDFs'!F17</f>
        <v>0.9642857142857143</v>
      </c>
      <c r="G116" s="125">
        <f>+'Excercise 6 - Closed Claim LDFs'!G17/'Exercise 6 -  Report Claim LDFs'!G17</f>
        <v>0.97678571428571426</v>
      </c>
      <c r="H116" s="125">
        <f>+'Excercise 6 - Closed Claim LDFs'!H17/'Exercise 6 -  Report Claim LDFs'!H17</f>
        <v>0.98392857142857137</v>
      </c>
      <c r="I116" s="125">
        <f>+'Excercise 6 - Closed Claim LDFs'!I17/'Exercise 6 -  Report Claim LDFs'!I17</f>
        <v>0.9910873440285205</v>
      </c>
      <c r="J116" s="125">
        <f>+'Excercise 6 - Closed Claim LDFs'!J17/'Exercise 6 -  Report Claim LDFs'!J17</f>
        <v>0.99110320284697506</v>
      </c>
      <c r="K116" s="125">
        <f>+'Excercise 6 - Closed Claim LDFs'!K17/'Exercise 6 -  Report Claim LDFs'!K17</f>
        <v>0.98398576512455516</v>
      </c>
      <c r="L116" s="125">
        <f>+'Excercise 6 - Closed Claim LDFs'!L17/'Exercise 6 -  Report Claim LDFs'!L17</f>
        <v>0.98576512455516019</v>
      </c>
      <c r="M116" s="125"/>
      <c r="N116" s="125"/>
      <c r="O116" s="125"/>
      <c r="P116" s="125"/>
    </row>
    <row r="117" spans="2:16">
      <c r="B117" s="125">
        <f>+'Excercise 6 - Closed Claim LDFs'!B18/'Exercise 6 -  Report Claim LDFs'!B18</f>
        <v>0.77126099706744866</v>
      </c>
      <c r="C117" s="125">
        <f>+'Excercise 6 - Closed Claim LDFs'!C18/'Exercise 6 -  Report Claim LDFs'!C18</f>
        <v>0.91666666666666663</v>
      </c>
      <c r="D117" s="125">
        <f>+'Excercise 6 - Closed Claim LDFs'!D18/'Exercise 6 -  Report Claim LDFs'!D18</f>
        <v>0.94312796208530802</v>
      </c>
      <c r="E117" s="125">
        <f>+'Excercise 6 - Closed Claim LDFs'!E18/'Exercise 6 -  Report Claim LDFs'!E18</f>
        <v>0.95560747663551404</v>
      </c>
      <c r="F117" s="125">
        <f>+'Excercise 6 - Closed Claim LDFs'!F18/'Exercise 6 -  Report Claim LDFs'!F18</f>
        <v>0.97921478060046185</v>
      </c>
      <c r="G117" s="125">
        <f>+'Excercise 6 - Closed Claim LDFs'!G18/'Exercise 6 -  Report Claim LDFs'!G18</f>
        <v>0.99307159353348728</v>
      </c>
      <c r="H117" s="125">
        <f>+'Excercise 6 - Closed Claim LDFs'!H18/'Exercise 6 -  Report Claim LDFs'!H18</f>
        <v>0.99308755760368661</v>
      </c>
      <c r="I117" s="125">
        <f>+'Excercise 6 - Closed Claim LDFs'!I18/'Exercise 6 -  Report Claim LDFs'!I18</f>
        <v>0.99308755760368661</v>
      </c>
      <c r="J117" s="125">
        <f>+'Excercise 6 - Closed Claim LDFs'!J18/'Exercise 6 -  Report Claim LDFs'!J18</f>
        <v>0.99769585253456217</v>
      </c>
      <c r="K117" s="125">
        <f>+'Excercise 6 - Closed Claim LDFs'!K18/'Exercise 6 -  Report Claim LDFs'!K18</f>
        <v>0.99769585253456217</v>
      </c>
      <c r="L117" s="125"/>
      <c r="M117" s="125"/>
      <c r="N117" s="125"/>
      <c r="O117" s="125"/>
      <c r="P117" s="125"/>
    </row>
    <row r="118" spans="2:16">
      <c r="B118" s="125">
        <f>+'Excercise 6 - Closed Claim LDFs'!B19/'Exercise 6 -  Report Claim LDFs'!B19</f>
        <v>0.73913043478260865</v>
      </c>
      <c r="C118" s="125">
        <f>+'Excercise 6 - Closed Claim LDFs'!C19/'Exercise 6 -  Report Claim LDFs'!C19</f>
        <v>0.90497737556561086</v>
      </c>
      <c r="D118" s="125">
        <f>+'Excercise 6 - Closed Claim LDFs'!D19/'Exercise 6 -  Report Claim LDFs'!D19</f>
        <v>0.93073593073593075</v>
      </c>
      <c r="E118" s="125">
        <f>+'Excercise 6 - Closed Claim LDFs'!E19/'Exercise 6 -  Report Claim LDFs'!E19</f>
        <v>0.96137339055793991</v>
      </c>
      <c r="F118" s="125">
        <f>+'Excercise 6 - Closed Claim LDFs'!F19/'Exercise 6 -  Report Claim LDFs'!F19</f>
        <v>0.97234042553191491</v>
      </c>
      <c r="G118" s="125">
        <f>+'Excercise 6 - Closed Claim LDFs'!G19/'Exercise 6 -  Report Claim LDFs'!G19</f>
        <v>0.9851380042462845</v>
      </c>
      <c r="H118" s="125">
        <f>+'Excercise 6 - Closed Claim LDFs'!H19/'Exercise 6 -  Report Claim LDFs'!H19</f>
        <v>0.98940677966101698</v>
      </c>
      <c r="I118" s="125">
        <f>+'Excercise 6 - Closed Claim LDFs'!I19/'Exercise 6 -  Report Claim LDFs'!I19</f>
        <v>1</v>
      </c>
      <c r="J118" s="125">
        <f>+'Excercise 6 - Closed Claim LDFs'!J19/'Exercise 6 -  Report Claim LDFs'!J19</f>
        <v>1</v>
      </c>
      <c r="K118" s="125"/>
      <c r="L118" s="125"/>
      <c r="M118" s="125"/>
      <c r="N118" s="125"/>
      <c r="O118" s="125"/>
      <c r="P118" s="125"/>
    </row>
    <row r="119" spans="2:16">
      <c r="B119" s="125">
        <f>+'Excercise 6 - Closed Claim LDFs'!B20/'Exercise 6 -  Report Claim LDFs'!B20</f>
        <v>0.76726342710997442</v>
      </c>
      <c r="C119" s="125">
        <f>+'Excercise 6 - Closed Claim LDFs'!C20/'Exercise 6 -  Report Claim LDFs'!C20</f>
        <v>0.92887931034482762</v>
      </c>
      <c r="D119" s="125">
        <f>+'Excercise 6 - Closed Claim LDFs'!D20/'Exercise 6 -  Report Claim LDFs'!D20</f>
        <v>0.96465696465696471</v>
      </c>
      <c r="E119" s="125">
        <f>+'Excercise 6 - Closed Claim LDFs'!E20/'Exercise 6 -  Report Claim LDFs'!E20</f>
        <v>0.96761133603238869</v>
      </c>
      <c r="F119" s="125">
        <f>+'Excercise 6 - Closed Claim LDFs'!F20/'Exercise 6 -  Report Claim LDFs'!F20</f>
        <v>0.98393574297188757</v>
      </c>
      <c r="G119" s="125">
        <f>+'Excercise 6 - Closed Claim LDFs'!G20/'Exercise 6 -  Report Claim LDFs'!G20</f>
        <v>0.98399999999999999</v>
      </c>
      <c r="H119" s="125">
        <f>+'Excercise 6 - Closed Claim LDFs'!H20/'Exercise 6 -  Report Claim LDFs'!H20</f>
        <v>0.99399999999999999</v>
      </c>
      <c r="I119" s="125">
        <f>+'Excercise 6 - Closed Claim LDFs'!I20/'Exercise 6 -  Report Claim LDFs'!I20</f>
        <v>0.99201596806387227</v>
      </c>
      <c r="J119" s="125"/>
      <c r="K119" s="125"/>
      <c r="L119" s="125"/>
      <c r="M119" s="125"/>
      <c r="N119" s="125"/>
      <c r="O119" s="125"/>
      <c r="P119" s="125"/>
    </row>
    <row r="120" spans="2:16">
      <c r="B120" s="125">
        <f>+'Excercise 6 - Closed Claim LDFs'!B21/'Exercise 6 -  Report Claim LDFs'!B21</f>
        <v>0.73366834170854267</v>
      </c>
      <c r="C120" s="125">
        <f>+'Excercise 6 - Closed Claim LDFs'!C21/'Exercise 6 -  Report Claim LDFs'!C21</f>
        <v>0.90927835051546391</v>
      </c>
      <c r="D120" s="125">
        <f>+'Excercise 6 - Closed Claim LDFs'!D21/'Exercise 6 -  Report Claim LDFs'!D21</f>
        <v>0.93548387096774188</v>
      </c>
      <c r="E120" s="125">
        <f>+'Excercise 6 - Closed Claim LDFs'!E21/'Exercise 6 -  Report Claim LDFs'!E21</f>
        <v>0.96222664015904569</v>
      </c>
      <c r="F120" s="125">
        <f>+'Excercise 6 - Closed Claim LDFs'!F21/'Exercise 6 -  Report Claim LDFs'!F21</f>
        <v>0.9782178217821782</v>
      </c>
      <c r="G120" s="125">
        <f>+'Excercise 6 - Closed Claim LDFs'!G21/'Exercise 6 -  Report Claim LDFs'!G21</f>
        <v>0.98418972332015808</v>
      </c>
      <c r="H120" s="125">
        <f>+'Excercise 6 - Closed Claim LDFs'!H21/'Exercise 6 -  Report Claim LDFs'!H21</f>
        <v>0.98619329388560162</v>
      </c>
      <c r="I120" s="125"/>
      <c r="J120" s="125"/>
      <c r="K120" s="125"/>
      <c r="L120" s="125"/>
      <c r="M120" s="125"/>
      <c r="N120" s="125"/>
      <c r="O120" s="125"/>
      <c r="P120" s="125"/>
    </row>
    <row r="121" spans="2:16">
      <c r="B121" s="125">
        <f>+'Excercise 6 - Closed Claim LDFs'!B22/'Exercise 6 -  Report Claim LDFs'!B22</f>
        <v>0.65527065527065531</v>
      </c>
      <c r="C121" s="125">
        <f>+'Excercise 6 - Closed Claim LDFs'!C22/'Exercise 6 -  Report Claim LDFs'!C22</f>
        <v>0.89150943396226412</v>
      </c>
      <c r="D121" s="125">
        <f>+'Excercise 6 - Closed Claim LDFs'!D22/'Exercise 6 -  Report Claim LDFs'!D22</f>
        <v>0.91855203619909498</v>
      </c>
      <c r="E121" s="125">
        <f>+'Excercise 6 - Closed Claim LDFs'!E22/'Exercise 6 -  Report Claim LDFs'!E22</f>
        <v>0.94209354120267264</v>
      </c>
      <c r="F121" s="125">
        <f>+'Excercise 6 - Closed Claim LDFs'!F22/'Exercise 6 -  Report Claim LDFs'!F22</f>
        <v>0.97571743929359822</v>
      </c>
      <c r="G121" s="125">
        <f>+'Excercise 6 - Closed Claim LDFs'!G22/'Exercise 6 -  Report Claim LDFs'!G22</f>
        <v>0.98233995584988965</v>
      </c>
      <c r="H121" s="125"/>
      <c r="I121" s="125"/>
      <c r="J121" s="125"/>
      <c r="K121" s="125"/>
      <c r="L121" s="125"/>
      <c r="M121" s="125"/>
      <c r="N121" s="125"/>
      <c r="O121" s="125"/>
      <c r="P121" s="125"/>
    </row>
    <row r="122" spans="2:16">
      <c r="B122" s="125">
        <f>+'Excercise 6 - Closed Claim LDFs'!B23/'Exercise 6 -  Report Claim LDFs'!B23</f>
        <v>0.76633165829145733</v>
      </c>
      <c r="C122" s="125">
        <f>+'Excercise 6 - Closed Claim LDFs'!C23/'Exercise 6 -  Report Claim LDFs'!C23</f>
        <v>0.93234672304439747</v>
      </c>
      <c r="D122" s="125">
        <f>+'Excercise 6 - Closed Claim LDFs'!D23/'Exercise 6 -  Report Claim LDFs'!D23</f>
        <v>0.94467213114754101</v>
      </c>
      <c r="E122" s="125">
        <f>+'Excercise 6 - Closed Claim LDFs'!E23/'Exercise 6 -  Report Claim LDFs'!E23</f>
        <v>0.95740365111561865</v>
      </c>
      <c r="F122" s="125">
        <f>+'Excercise 6 - Closed Claim LDFs'!F23/'Exercise 6 -  Report Claim LDFs'!F23</f>
        <v>0.97373737373737379</v>
      </c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</row>
    <row r="123" spans="2:16">
      <c r="B123" s="125">
        <f>+'Excercise 6 - Closed Claim LDFs'!B24/'Exercise 6 -  Report Claim LDFs'!B24</f>
        <v>0.73579545454545459</v>
      </c>
      <c r="C123" s="125">
        <f>+'Excercise 6 - Closed Claim LDFs'!C24/'Exercise 6 -  Report Claim LDFs'!C24</f>
        <v>0.91628959276018096</v>
      </c>
      <c r="D123" s="125">
        <f>+'Excercise 6 - Closed Claim LDFs'!D24/'Exercise 6 -  Report Claim LDFs'!D24</f>
        <v>0.94360086767895879</v>
      </c>
      <c r="E123" s="125">
        <f>+'Excercise 6 - Closed Claim LDFs'!E24/'Exercise 6 -  Report Claim LDFs'!E24</f>
        <v>0.95966029723991508</v>
      </c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</row>
    <row r="124" spans="2:16">
      <c r="B124" s="125">
        <f>+'Excercise 6 - Closed Claim LDFs'!B25/'Exercise 6 -  Report Claim LDFs'!B25</f>
        <v>0.65469613259668513</v>
      </c>
      <c r="C124" s="125">
        <f>+'Excercise 6 - Closed Claim LDFs'!C25/'Exercise 6 -  Report Claim LDFs'!C25</f>
        <v>0.8666666666666667</v>
      </c>
      <c r="D124" s="125">
        <f>+'Excercise 6 - Closed Claim LDFs'!D25/'Exercise 6 -  Report Claim LDFs'!D25</f>
        <v>0.92170022371364657</v>
      </c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</row>
    <row r="125" spans="2:16">
      <c r="B125" s="125">
        <f>+'Excercise 6 - Closed Claim LDFs'!B26/'Exercise 6 -  Report Claim LDFs'!B26</f>
        <v>0.6676923076923077</v>
      </c>
      <c r="C125" s="125">
        <f>+'Excercise 6 - Closed Claim LDFs'!C26/'Exercise 6 -  Report Claim LDFs'!C26</f>
        <v>0.90206185567010311</v>
      </c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</row>
    <row r="126" spans="2:16">
      <c r="B126" s="125">
        <f>+'Excercise 6 - Closed Claim LDFs'!B27/'Exercise 6 -  Report Claim LDFs'!B27</f>
        <v>0.71475409836065573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</row>
  </sheetData>
  <conditionalFormatting sqref="B13:P27">
    <cfRule type="cellIs" dxfId="40" priority="2" stopIfTrue="1" operator="notEqual">
      <formula>B112</formula>
    </cfRule>
  </conditionalFormatting>
  <conditionalFormatting sqref="B13:P27">
    <cfRule type="cellIs" dxfId="39" priority="1" stopIfTrue="1" operator="notEqual">
      <formula>B112</formula>
    </cfRule>
  </conditionalFormatting>
  <pageMargins left="0.7" right="0.7" top="0.75" bottom="0.75" header="0.3" footer="0.3"/>
  <ignoredErrors>
    <ignoredError sqref="C27:P27 P14 O15:P15 N16:P16 M17:P17 L18:P18 K19:P19 J20:P20 I21:P21 H22:P22 G23:P23 F24:P24 E25:P25 D26:P26" unlocked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0000"/>
  </sheetPr>
  <dimension ref="A1:AH148"/>
  <sheetViews>
    <sheetView workbookViewId="0"/>
  </sheetViews>
  <sheetFormatPr defaultColWidth="10" defaultRowHeight="15"/>
  <cols>
    <col min="1" max="1" width="11.5703125" style="45" customWidth="1"/>
    <col min="2" max="16" width="11.140625" style="37" customWidth="1"/>
    <col min="17" max="18" width="10" style="37"/>
    <col min="19" max="35" width="10" style="37" customWidth="1"/>
    <col min="36" max="16384" width="10" style="37"/>
  </cols>
  <sheetData>
    <row r="1" spans="1:33" ht="15.75">
      <c r="A1" s="203" t="s">
        <v>0</v>
      </c>
    </row>
    <row r="2" spans="1:33" ht="15.75">
      <c r="A2" s="204" t="str">
        <f>+"Analysis of Loss &amp; DCC Reserves as of "&amp;TEXT(EvalDate,"mm/dd/yyy")</f>
        <v>Analysis of Loss &amp; DCC Reserves as of 12/31/2016</v>
      </c>
    </row>
    <row r="3" spans="1:33" ht="15.75">
      <c r="A3" s="205" t="str">
        <f>+LOB</f>
        <v>Liability</v>
      </c>
    </row>
    <row r="4" spans="1:33">
      <c r="A4" s="38"/>
      <c r="E4" s="39"/>
    </row>
    <row r="6" spans="1:33">
      <c r="A6" s="38" t="s">
        <v>98</v>
      </c>
    </row>
    <row r="7" spans="1:33">
      <c r="A7" s="38"/>
    </row>
    <row r="8" spans="1:33">
      <c r="A8" s="38"/>
    </row>
    <row r="10" spans="1:33">
      <c r="A10" s="40" t="str">
        <f>'[1]Exercise 6 - Paid-Ldfs'!$A$10</f>
        <v>Accident</v>
      </c>
      <c r="B10" s="41" t="s">
        <v>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</row>
    <row r="11" spans="1:33" s="45" customFormat="1">
      <c r="A11" s="43" t="s">
        <v>5</v>
      </c>
      <c r="B11" s="44">
        <v>12</v>
      </c>
      <c r="C11" s="44">
        <f t="shared" ref="C11:P11" si="0">B11+12</f>
        <v>24</v>
      </c>
      <c r="D11" s="44">
        <f t="shared" si="0"/>
        <v>36</v>
      </c>
      <c r="E11" s="44">
        <f t="shared" si="0"/>
        <v>48</v>
      </c>
      <c r="F11" s="44">
        <f t="shared" si="0"/>
        <v>60</v>
      </c>
      <c r="G11" s="44">
        <f t="shared" si="0"/>
        <v>72</v>
      </c>
      <c r="H11" s="44">
        <f t="shared" si="0"/>
        <v>84</v>
      </c>
      <c r="I11" s="44">
        <f t="shared" si="0"/>
        <v>96</v>
      </c>
      <c r="J11" s="44">
        <f t="shared" si="0"/>
        <v>108</v>
      </c>
      <c r="K11" s="44">
        <f t="shared" si="0"/>
        <v>120</v>
      </c>
      <c r="L11" s="44">
        <f t="shared" si="0"/>
        <v>132</v>
      </c>
      <c r="M11" s="44">
        <f t="shared" si="0"/>
        <v>144</v>
      </c>
      <c r="N11" s="44">
        <f t="shared" si="0"/>
        <v>156</v>
      </c>
      <c r="O11" s="44">
        <f t="shared" si="0"/>
        <v>168</v>
      </c>
      <c r="P11" s="44">
        <f t="shared" si="0"/>
        <v>180</v>
      </c>
    </row>
    <row r="12" spans="1:33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</row>
    <row r="13" spans="1:33">
      <c r="A13" s="49">
        <f t="shared" ref="A13:A25" si="1">+A14-1</f>
        <v>2002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48"/>
      <c r="S13" s="132">
        <f>+'[1]Exercise 6 - Inc-Ldfs'!B13/'[1]Exercise 6 - Rept Claim Ldfs'!B13</f>
        <v>5517.130764681031</v>
      </c>
      <c r="T13" s="132">
        <f>+'[1]Exercise 6 - Inc-Ldfs'!C13/'[1]Exercise 6 - Rept Claim Ldfs'!C13</f>
        <v>6415.4092876344102</v>
      </c>
      <c r="U13" s="132">
        <f>+'[1]Exercise 6 - Inc-Ldfs'!D13/'[1]Exercise 6 - Rept Claim Ldfs'!D13</f>
        <v>6562.92877398374</v>
      </c>
      <c r="V13" s="132">
        <f>+'[1]Exercise 6 - Inc-Ldfs'!E13/'[1]Exercise 6 - Rept Claim Ldfs'!E13</f>
        <v>6609.4238279987076</v>
      </c>
      <c r="W13" s="132">
        <f>+'[1]Exercise 6 - Inc-Ldfs'!F13/'[1]Exercise 6 - Rept Claim Ldfs'!F13</f>
        <v>6850.5038407193324</v>
      </c>
      <c r="X13" s="132">
        <f>+'[1]Exercise 6 - Inc-Ldfs'!G13/'[1]Exercise 6 - Rept Claim Ldfs'!G13</f>
        <v>6698.0282771896054</v>
      </c>
      <c r="Y13" s="132">
        <f>+'[1]Exercise 6 - Inc-Ldfs'!H13/'[1]Exercise 6 - Rept Claim Ldfs'!H13</f>
        <v>6622.3548283606033</v>
      </c>
      <c r="Z13" s="132">
        <f>+'[1]Exercise 6 - Inc-Ldfs'!I13/'[1]Exercise 6 - Rept Claim Ldfs'!I13</f>
        <v>6580.832051282051</v>
      </c>
      <c r="AA13" s="132">
        <f>+'[1]Exercise 6 - Inc-Ldfs'!J13/'[1]Exercise 6 - Rept Claim Ldfs'!J13</f>
        <v>6690.9820857325649</v>
      </c>
      <c r="AB13" s="132">
        <f>+'[1]Exercise 6 - Inc-Ldfs'!K13/'[1]Exercise 6 - Rept Claim Ldfs'!K13</f>
        <v>7382.7151979565779</v>
      </c>
      <c r="AC13" s="132">
        <f>+'[1]Exercise 6 - Inc-Ldfs'!L13/'[1]Exercise 6 - Rept Claim Ldfs'!L13</f>
        <v>7856.0268199233715</v>
      </c>
      <c r="AD13" s="132">
        <f>+'[1]Exercise 6 - Inc-Ldfs'!M13/'[1]Exercise 6 - Rept Claim Ldfs'!M13</f>
        <v>7992.5498084291185</v>
      </c>
      <c r="AE13" s="132">
        <f>+'[1]Exercise 6 - Inc-Ldfs'!N13/'[1]Exercise 6 - Rept Claim Ldfs'!N13</f>
        <v>8032.5125574712638</v>
      </c>
      <c r="AF13" s="132">
        <f>+'[1]Exercise 6 - Inc-Ldfs'!O13/'[1]Exercise 6 - Rept Claim Ldfs'!O13</f>
        <v>8104.8051704885047</v>
      </c>
      <c r="AG13" s="132">
        <f>+'[1]Exercise 6 - Inc-Ldfs'!P13/'[1]Exercise 6 - Rept Claim Ldfs'!P13</f>
        <v>8104.8051704885047</v>
      </c>
    </row>
    <row r="14" spans="1:33">
      <c r="A14" s="49">
        <f t="shared" si="1"/>
        <v>2003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48"/>
      <c r="S14" s="132">
        <f>+'[1]Exercise 6 - Inc-Ldfs'!B14/'[1]Exercise 6 - Rept Claim Ldfs'!B14</f>
        <v>4322.6841304347827</v>
      </c>
      <c r="T14" s="132">
        <f>+'[1]Exercise 6 - Inc-Ldfs'!C14/'[1]Exercise 6 - Rept Claim Ldfs'!C14</f>
        <v>6060.0507142857141</v>
      </c>
      <c r="U14" s="132">
        <f>+'[1]Exercise 6 - Inc-Ldfs'!D14/'[1]Exercise 6 - Rept Claim Ldfs'!D14</f>
        <v>6255.9410216110027</v>
      </c>
      <c r="V14" s="132">
        <f>+'[1]Exercise 6 - Inc-Ldfs'!E14/'[1]Exercise 6 - Rept Claim Ldfs'!E14</f>
        <v>5801.7707129094424</v>
      </c>
      <c r="W14" s="132">
        <f>+'[1]Exercise 6 - Inc-Ldfs'!F14/'[1]Exercise 6 - Rept Claim Ldfs'!F14</f>
        <v>5721.8476190476204</v>
      </c>
      <c r="X14" s="132">
        <f>+'[1]Exercise 6 - Inc-Ldfs'!G14/'[1]Exercise 6 - Rept Claim Ldfs'!G14</f>
        <v>5543.2590476190489</v>
      </c>
      <c r="Y14" s="132">
        <f>+'[1]Exercise 6 - Inc-Ldfs'!H14/'[1]Exercise 6 - Rept Claim Ldfs'!H14</f>
        <v>5562.3542857142866</v>
      </c>
      <c r="Z14" s="132">
        <f>+'[1]Exercise 6 - Inc-Ldfs'!I14/'[1]Exercise 6 - Rept Claim Ldfs'!I14</f>
        <v>5639.8688212927764</v>
      </c>
      <c r="AA14" s="132">
        <f>+'[1]Exercise 6 - Inc-Ldfs'!J14/'[1]Exercise 6 - Rept Claim Ldfs'!J14</f>
        <v>5667.1520912547539</v>
      </c>
      <c r="AB14" s="132">
        <f>+'[1]Exercise 6 - Inc-Ldfs'!K14/'[1]Exercise 6 - Rept Claim Ldfs'!K14</f>
        <v>5711.9486692015216</v>
      </c>
      <c r="AC14" s="132">
        <f>+'[1]Exercise 6 - Inc-Ldfs'!L14/'[1]Exercise 6 - Rept Claim Ldfs'!L14</f>
        <v>5835.5787476280848</v>
      </c>
      <c r="AD14" s="132">
        <f>+'[1]Exercise 6 - Inc-Ldfs'!M14/'[1]Exercise 6 - Rept Claim Ldfs'!M14</f>
        <v>6251.1385199240995</v>
      </c>
      <c r="AE14" s="132">
        <f>+'[1]Exercise 6 - Inc-Ldfs'!N14/'[1]Exercise 6 - Rept Claim Ldfs'!N14</f>
        <v>6284.7367424242429</v>
      </c>
      <c r="AF14" s="132">
        <f>+'[1]Exercise 6 - Inc-Ldfs'!O14/'[1]Exercise 6 - Rept Claim Ldfs'!O14</f>
        <v>6288.922348484849</v>
      </c>
      <c r="AG14" s="132"/>
    </row>
    <row r="15" spans="1:33">
      <c r="A15" s="49">
        <f t="shared" si="1"/>
        <v>2004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48"/>
      <c r="S15" s="132">
        <f>+'[1]Exercise 6 - Inc-Ldfs'!B15/'[1]Exercise 6 - Rept Claim Ldfs'!B15</f>
        <v>8774.8998186528497</v>
      </c>
      <c r="T15" s="132">
        <f>+'[1]Exercise 6 - Inc-Ldfs'!C15/'[1]Exercise 6 - Rept Claim Ldfs'!C15</f>
        <v>9090.7908506224067</v>
      </c>
      <c r="U15" s="132">
        <f>+'[1]Exercise 6 - Inc-Ldfs'!D15/'[1]Exercise 6 - Rept Claim Ldfs'!D15</f>
        <v>8087.6403162055349</v>
      </c>
      <c r="V15" s="132">
        <f>+'[1]Exercise 6 - Inc-Ldfs'!E15/'[1]Exercise 6 - Rept Claim Ldfs'!E15</f>
        <v>7864.0607843137268</v>
      </c>
      <c r="W15" s="132">
        <f>+'[1]Exercise 6 - Inc-Ldfs'!F15/'[1]Exercise 6 - Rept Claim Ldfs'!F15</f>
        <v>7964.6972656250009</v>
      </c>
      <c r="X15" s="132">
        <f>+'[1]Exercise 6 - Inc-Ldfs'!G15/'[1]Exercise 6 - Rept Claim Ldfs'!G15</f>
        <v>7729.7407407407418</v>
      </c>
      <c r="Y15" s="132">
        <f>+'[1]Exercise 6 - Inc-Ldfs'!H15/'[1]Exercise 6 - Rept Claim Ldfs'!H15</f>
        <v>7682.5536062378178</v>
      </c>
      <c r="Z15" s="132">
        <f>+'[1]Exercise 6 - Inc-Ldfs'!I15/'[1]Exercise 6 - Rept Claim Ldfs'!I15</f>
        <v>7617.9161793372332</v>
      </c>
      <c r="AA15" s="132">
        <f>+'[1]Exercise 6 - Inc-Ldfs'!J15/'[1]Exercise 6 - Rept Claim Ldfs'!J15</f>
        <v>7617.9161793372332</v>
      </c>
      <c r="AB15" s="132">
        <f>+'[1]Exercise 6 - Inc-Ldfs'!K15/'[1]Exercise 6 - Rept Claim Ldfs'!K15</f>
        <v>7992.200389105059</v>
      </c>
      <c r="AC15" s="132">
        <f>+'[1]Exercise 6 - Inc-Ldfs'!L15/'[1]Exercise 6 - Rept Claim Ldfs'!L15</f>
        <v>8944.2490272373543</v>
      </c>
      <c r="AD15" s="132">
        <f>+'[1]Exercise 6 - Inc-Ldfs'!M15/'[1]Exercise 6 - Rept Claim Ldfs'!M15</f>
        <v>8934.1225680933858</v>
      </c>
      <c r="AE15" s="132">
        <f>+'[1]Exercise 6 - Inc-Ldfs'!N15/'[1]Exercise 6 - Rept Claim Ldfs'!N15</f>
        <v>8992.4902723735413</v>
      </c>
      <c r="AF15" s="132"/>
      <c r="AG15" s="132"/>
    </row>
    <row r="16" spans="1:33">
      <c r="A16" s="49">
        <f t="shared" si="1"/>
        <v>2005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48"/>
      <c r="S16" s="132">
        <f>+'[1]Exercise 6 - Inc-Ldfs'!B16/'[1]Exercise 6 - Rept Claim Ldfs'!B16</f>
        <v>3356.8776674937963</v>
      </c>
      <c r="T16" s="132">
        <f>+'[1]Exercise 6 - Inc-Ldfs'!C16/'[1]Exercise 6 - Rept Claim Ldfs'!C16</f>
        <v>4303.8097647058821</v>
      </c>
      <c r="U16" s="132">
        <f>+'[1]Exercise 6 - Inc-Ldfs'!D16/'[1]Exercise 6 - Rept Claim Ldfs'!D16</f>
        <v>5421.7399036608858</v>
      </c>
      <c r="V16" s="132">
        <f>+'[1]Exercise 6 - Inc-Ldfs'!E16/'[1]Exercise 6 - Rept Claim Ldfs'!E16</f>
        <v>6141.4279270633388</v>
      </c>
      <c r="W16" s="132">
        <f>+'[1]Exercise 6 - Inc-Ldfs'!F16/'[1]Exercise 6 - Rept Claim Ldfs'!F16</f>
        <v>6814.3336121672992</v>
      </c>
      <c r="X16" s="132">
        <f>+'[1]Exercise 6 - Inc-Ldfs'!G16/'[1]Exercise 6 - Rept Claim Ldfs'!G16</f>
        <v>6774.3518441064625</v>
      </c>
      <c r="Y16" s="132">
        <f>+'[1]Exercise 6 - Inc-Ldfs'!H16/'[1]Exercise 6 - Rept Claim Ldfs'!H16</f>
        <v>6577.098859315588</v>
      </c>
      <c r="Z16" s="132">
        <f>+'[1]Exercise 6 - Inc-Ldfs'!I16/'[1]Exercise 6 - Rept Claim Ldfs'!I16</f>
        <v>6435.5521821631864</v>
      </c>
      <c r="AA16" s="132">
        <f>+'[1]Exercise 6 - Inc-Ldfs'!J16/'[1]Exercise 6 - Rept Claim Ldfs'!J16</f>
        <v>6746.865784499053</v>
      </c>
      <c r="AB16" s="132">
        <f>+'[1]Exercise 6 - Inc-Ldfs'!K16/'[1]Exercise 6 - Rept Claim Ldfs'!K16</f>
        <v>8394.0679245283009</v>
      </c>
      <c r="AC16" s="132">
        <f>+'[1]Exercise 6 - Inc-Ldfs'!L16/'[1]Exercise 6 - Rept Claim Ldfs'!L16</f>
        <v>8735.5547169811307</v>
      </c>
      <c r="AD16" s="132">
        <f>+'[1]Exercise 6 - Inc-Ldfs'!M16/'[1]Exercise 6 - Rept Claim Ldfs'!M16</f>
        <v>8735.5547169811307</v>
      </c>
      <c r="AE16" s="132"/>
      <c r="AF16" s="132"/>
      <c r="AG16" s="132"/>
    </row>
    <row r="17" spans="1:33">
      <c r="A17" s="49">
        <f t="shared" si="1"/>
        <v>2006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48"/>
      <c r="S17" s="132">
        <f>+'[1]Exercise 6 - Inc-Ldfs'!B17/'[1]Exercise 6 - Rept Claim Ldfs'!B17</f>
        <v>4114.958185654008</v>
      </c>
      <c r="T17" s="132">
        <f>+'[1]Exercise 6 - Inc-Ldfs'!C17/'[1]Exercise 6 - Rept Claim Ldfs'!C17</f>
        <v>5349.7771214953264</v>
      </c>
      <c r="U17" s="132">
        <f>+'[1]Exercise 6 - Inc-Ldfs'!D17/'[1]Exercise 6 - Rept Claim Ldfs'!D17</f>
        <v>6711.2918625678121</v>
      </c>
      <c r="V17" s="132">
        <f>+'[1]Exercise 6 - Inc-Ldfs'!E17/'[1]Exercise 6 - Rept Claim Ldfs'!E17</f>
        <v>8264.8752782764823</v>
      </c>
      <c r="W17" s="132">
        <f>+'[1]Exercise 6 - Inc-Ldfs'!F17/'[1]Exercise 6 - Rept Claim Ldfs'!F17</f>
        <v>7370.2723750000005</v>
      </c>
      <c r="X17" s="132">
        <f>+'[1]Exercise 6 - Inc-Ldfs'!G17/'[1]Exercise 6 - Rept Claim Ldfs'!G17</f>
        <v>8179.4285714285716</v>
      </c>
      <c r="Y17" s="132">
        <f>+'[1]Exercise 6 - Inc-Ldfs'!H17/'[1]Exercise 6 - Rept Claim Ldfs'!H17</f>
        <v>8144.6928571428571</v>
      </c>
      <c r="Z17" s="132">
        <f>+'[1]Exercise 6 - Inc-Ldfs'!I17/'[1]Exercise 6 - Rept Claim Ldfs'!I17</f>
        <v>7689.2477718360069</v>
      </c>
      <c r="AA17" s="132">
        <f>+'[1]Exercise 6 - Inc-Ldfs'!J17/'[1]Exercise 6 - Rept Claim Ldfs'!J17</f>
        <v>7646.7864768683276</v>
      </c>
      <c r="AB17" s="132">
        <f>+'[1]Exercise 6 - Inc-Ldfs'!K17/'[1]Exercise 6 - Rept Claim Ldfs'!K17</f>
        <v>8007.758007117438</v>
      </c>
      <c r="AC17" s="132">
        <f>+'[1]Exercise 6 - Inc-Ldfs'!L17/'[1]Exercise 6 - Rept Claim Ldfs'!L17</f>
        <v>8400.8398576512463</v>
      </c>
      <c r="AD17" s="132"/>
      <c r="AE17" s="132"/>
      <c r="AF17" s="132"/>
      <c r="AG17" s="132"/>
    </row>
    <row r="18" spans="1:33">
      <c r="A18" s="49">
        <f t="shared" si="1"/>
        <v>2007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S18" s="132">
        <f>+'[1]Exercise 6 - Inc-Ldfs'!B18/'[1]Exercise 6 - Rept Claim Ldfs'!B18</f>
        <v>2803.4953958944284</v>
      </c>
      <c r="T18" s="132">
        <f>+'[1]Exercise 6 - Inc-Ldfs'!C18/'[1]Exercise 6 - Rept Claim Ldfs'!C18</f>
        <v>4015.2985294117648</v>
      </c>
      <c r="U18" s="132">
        <f>+'[1]Exercise 6 - Inc-Ldfs'!D18/'[1]Exercise 6 - Rept Claim Ldfs'!D18</f>
        <v>5101.7730805687206</v>
      </c>
      <c r="V18" s="132">
        <f>+'[1]Exercise 6 - Inc-Ldfs'!E18/'[1]Exercise 6 - Rept Claim Ldfs'!E18</f>
        <v>5621.0624766355149</v>
      </c>
      <c r="W18" s="132">
        <f>+'[1]Exercise 6 - Inc-Ldfs'!F18/'[1]Exercise 6 - Rept Claim Ldfs'!F18</f>
        <v>5785.6512702078526</v>
      </c>
      <c r="X18" s="132">
        <f>+'[1]Exercise 6 - Inc-Ldfs'!G18/'[1]Exercise 6 - Rept Claim Ldfs'!G18</f>
        <v>5854.7528868360278</v>
      </c>
      <c r="Y18" s="132">
        <f>+'[1]Exercise 6 - Inc-Ldfs'!H18/'[1]Exercise 6 - Rept Claim Ldfs'!H18</f>
        <v>6783.2188940092165</v>
      </c>
      <c r="Z18" s="132">
        <f>+'[1]Exercise 6 - Inc-Ldfs'!I18/'[1]Exercise 6 - Rept Claim Ldfs'!I18</f>
        <v>7806.6244239631333</v>
      </c>
      <c r="AA18" s="132">
        <f>+'[1]Exercise 6 - Inc-Ldfs'!J18/'[1]Exercise 6 - Rept Claim Ldfs'!J18</f>
        <v>7598.1635944700465</v>
      </c>
      <c r="AB18" s="132">
        <f>+'[1]Exercise 6 - Inc-Ldfs'!K18/'[1]Exercise 6 - Rept Claim Ldfs'!K18</f>
        <v>7475.4769585253453</v>
      </c>
      <c r="AC18" s="132"/>
      <c r="AD18" s="132"/>
      <c r="AE18" s="132"/>
      <c r="AF18" s="132"/>
      <c r="AG18" s="132"/>
    </row>
    <row r="19" spans="1:33">
      <c r="A19" s="49">
        <f t="shared" si="1"/>
        <v>2008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S19" s="132">
        <f>+'[1]Exercise 6 - Inc-Ldfs'!B19/'[1]Exercise 6 - Rept Claim Ldfs'!B19</f>
        <v>3672.2513858695652</v>
      </c>
      <c r="T19" s="132">
        <f>+'[1]Exercise 6 - Inc-Ldfs'!C19/'[1]Exercise 6 - Rept Claim Ldfs'!C19</f>
        <v>4892.2591855203618</v>
      </c>
      <c r="U19" s="132">
        <f>+'[1]Exercise 6 - Inc-Ldfs'!D19/'[1]Exercise 6 - Rept Claim Ldfs'!D19</f>
        <v>4945.1492857142848</v>
      </c>
      <c r="V19" s="132">
        <f>+'[1]Exercise 6 - Inc-Ldfs'!E19/'[1]Exercise 6 - Rept Claim Ldfs'!E19</f>
        <v>4057.3068669527893</v>
      </c>
      <c r="W19" s="132">
        <f>+'[1]Exercise 6 - Inc-Ldfs'!F19/'[1]Exercise 6 - Rept Claim Ldfs'!F19</f>
        <v>4177.7893617021273</v>
      </c>
      <c r="X19" s="132">
        <f>+'[1]Exercise 6 - Inc-Ldfs'!G19/'[1]Exercise 6 - Rept Claim Ldfs'!G19</f>
        <v>5153.0212314225055</v>
      </c>
      <c r="Y19" s="132">
        <f>+'[1]Exercise 6 - Inc-Ldfs'!H19/'[1]Exercise 6 - Rept Claim Ldfs'!H19</f>
        <v>5494.3813559322034</v>
      </c>
      <c r="Z19" s="132">
        <f>+'[1]Exercise 6 - Inc-Ldfs'!I19/'[1]Exercise 6 - Rept Claim Ldfs'!I19</f>
        <v>4743.3805496828754</v>
      </c>
      <c r="AA19" s="132">
        <f>+'[1]Exercise 6 - Inc-Ldfs'!J19/'[1]Exercise 6 - Rept Claim Ldfs'!J19</f>
        <v>4925.7737843551795</v>
      </c>
      <c r="AB19" s="132"/>
      <c r="AC19" s="132"/>
      <c r="AD19" s="132"/>
      <c r="AE19" s="132"/>
      <c r="AF19" s="132"/>
      <c r="AG19" s="132"/>
    </row>
    <row r="20" spans="1:33">
      <c r="A20" s="49">
        <f t="shared" si="1"/>
        <v>2009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S20" s="132">
        <f>+'[1]Exercise 6 - Inc-Ldfs'!B20/'[1]Exercise 6 - Rept Claim Ldfs'!B20</f>
        <v>3592.2092838874682</v>
      </c>
      <c r="T20" s="132">
        <f>+'[1]Exercise 6 - Inc-Ldfs'!C20/'[1]Exercise 6 - Rept Claim Ldfs'!C20</f>
        <v>4274.2834698275865</v>
      </c>
      <c r="U20" s="132">
        <f>+'[1]Exercise 6 - Inc-Ldfs'!D20/'[1]Exercise 6 - Rept Claim Ldfs'!D20</f>
        <v>4091.864864864865</v>
      </c>
      <c r="V20" s="132">
        <f>+'[1]Exercise 6 - Inc-Ldfs'!E20/'[1]Exercise 6 - Rept Claim Ldfs'!E20</f>
        <v>5147.0748987854249</v>
      </c>
      <c r="W20" s="132">
        <f>+'[1]Exercise 6 - Inc-Ldfs'!F20/'[1]Exercise 6 - Rept Claim Ldfs'!F20</f>
        <v>5210.1445783132531</v>
      </c>
      <c r="X20" s="132">
        <f>+'[1]Exercise 6 - Inc-Ldfs'!G20/'[1]Exercise 6 - Rept Claim Ldfs'!G20</f>
        <v>5258.5479999999998</v>
      </c>
      <c r="Y20" s="132">
        <f>+'[1]Exercise 6 - Inc-Ldfs'!H20/'[1]Exercise 6 - Rept Claim Ldfs'!H20</f>
        <v>5205.1319999999996</v>
      </c>
      <c r="Z20" s="132">
        <f>+'[1]Exercise 6 - Inc-Ldfs'!I20/'[1]Exercise 6 - Rept Claim Ldfs'!I20</f>
        <v>5338.8123752495012</v>
      </c>
      <c r="AA20" s="132"/>
      <c r="AB20" s="132"/>
      <c r="AC20" s="132"/>
      <c r="AD20" s="132"/>
      <c r="AE20" s="132"/>
      <c r="AF20" s="132"/>
      <c r="AG20" s="132"/>
    </row>
    <row r="21" spans="1:33">
      <c r="A21" s="49">
        <f t="shared" si="1"/>
        <v>2010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S21" s="132">
        <f>+'[1]Exercise 6 - Inc-Ldfs'!B21/'[1]Exercise 6 - Rept Claim Ldfs'!B21</f>
        <v>3595.2659045226133</v>
      </c>
      <c r="T21" s="132">
        <f>+'[1]Exercise 6 - Inc-Ldfs'!C21/'[1]Exercise 6 - Rept Claim Ldfs'!C21</f>
        <v>3448.9938144329899</v>
      </c>
      <c r="U21" s="132">
        <f>+'[1]Exercise 6 - Inc-Ldfs'!D21/'[1]Exercise 6 - Rept Claim Ldfs'!D21</f>
        <v>5760.7943548387093</v>
      </c>
      <c r="V21" s="132">
        <f>+'[1]Exercise 6 - Inc-Ldfs'!E21/'[1]Exercise 6 - Rept Claim Ldfs'!E21</f>
        <v>6280.3359840954272</v>
      </c>
      <c r="W21" s="132">
        <f>+'[1]Exercise 6 - Inc-Ldfs'!F21/'[1]Exercise 6 - Rept Claim Ldfs'!F21</f>
        <v>6757.1643564356436</v>
      </c>
      <c r="X21" s="132">
        <f>+'[1]Exercise 6 - Inc-Ldfs'!G21/'[1]Exercise 6 - Rept Claim Ldfs'!G21</f>
        <v>6962.966403162055</v>
      </c>
      <c r="Y21" s="132">
        <f>+'[1]Exercise 6 - Inc-Ldfs'!H21/'[1]Exercise 6 - Rept Claim Ldfs'!H21</f>
        <v>7163.4378698224855</v>
      </c>
      <c r="Z21" s="132"/>
      <c r="AA21" s="132"/>
      <c r="AB21" s="132"/>
      <c r="AC21" s="132"/>
      <c r="AD21" s="132"/>
      <c r="AE21" s="132"/>
      <c r="AF21" s="132"/>
      <c r="AG21" s="132"/>
    </row>
    <row r="22" spans="1:33">
      <c r="A22" s="49">
        <f t="shared" si="1"/>
        <v>2011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S22" s="132">
        <f>+'[1]Exercise 6 - Inc-Ldfs'!B22/'[1]Exercise 6 - Rept Claim Ldfs'!B22</f>
        <v>5041.2079772079769</v>
      </c>
      <c r="T22" s="132">
        <f>+'[1]Exercise 6 - Inc-Ldfs'!C22/'[1]Exercise 6 - Rept Claim Ldfs'!C22</f>
        <v>6050.7948113207549</v>
      </c>
      <c r="U22" s="132">
        <f>+'[1]Exercise 6 - Inc-Ldfs'!D22/'[1]Exercise 6 - Rept Claim Ldfs'!D22</f>
        <v>10065.522624434388</v>
      </c>
      <c r="V22" s="132">
        <f>+'[1]Exercise 6 - Inc-Ldfs'!E22/'[1]Exercise 6 - Rept Claim Ldfs'!E22</f>
        <v>14892.866369710468</v>
      </c>
      <c r="W22" s="132">
        <f>+'[1]Exercise 6 - Inc-Ldfs'!F22/'[1]Exercise 6 - Rept Claim Ldfs'!F22</f>
        <v>16381.055187637969</v>
      </c>
      <c r="X22" s="132">
        <f>+'[1]Exercise 6 - Inc-Ldfs'!G22/'[1]Exercise 6 - Rept Claim Ldfs'!G22</f>
        <v>16429.951434878589</v>
      </c>
      <c r="Y22" s="132"/>
      <c r="Z22" s="132"/>
      <c r="AA22" s="132"/>
      <c r="AB22" s="132"/>
      <c r="AC22" s="132"/>
      <c r="AD22" s="132"/>
      <c r="AE22" s="132"/>
      <c r="AF22" s="132"/>
      <c r="AG22" s="132"/>
    </row>
    <row r="23" spans="1:33">
      <c r="A23" s="49">
        <f t="shared" si="1"/>
        <v>2012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S23" s="132">
        <f>+'[1]Exercise 6 - Inc-Ldfs'!B23/'[1]Exercise 6 - Rept Claim Ldfs'!B23</f>
        <v>5632.417085427136</v>
      </c>
      <c r="T23" s="132">
        <f>+'[1]Exercise 6 - Inc-Ldfs'!C23/'[1]Exercise 6 - Rept Claim Ldfs'!C23</f>
        <v>6005.7103594080336</v>
      </c>
      <c r="U23" s="132">
        <f>+'[1]Exercise 6 - Inc-Ldfs'!D23/'[1]Exercise 6 - Rept Claim Ldfs'!D23</f>
        <v>7780.622950819672</v>
      </c>
      <c r="V23" s="132">
        <f>+'[1]Exercise 6 - Inc-Ldfs'!E23/'[1]Exercise 6 - Rept Claim Ldfs'!E23</f>
        <v>8727.9918864097363</v>
      </c>
      <c r="W23" s="132">
        <f>+'[1]Exercise 6 - Inc-Ldfs'!F23/'[1]Exercise 6 - Rept Claim Ldfs'!F23</f>
        <v>11006.654545454545</v>
      </c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</row>
    <row r="24" spans="1:33">
      <c r="A24" s="49">
        <f t="shared" si="1"/>
        <v>2013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S24" s="132">
        <f>+'[1]Exercise 6 - Inc-Ldfs'!B24/'[1]Exercise 6 - Rept Claim Ldfs'!B24</f>
        <v>3009.2727272727275</v>
      </c>
      <c r="T24" s="132">
        <f>+'[1]Exercise 6 - Inc-Ldfs'!C24/'[1]Exercise 6 - Rept Claim Ldfs'!C24</f>
        <v>4210.4864253393662</v>
      </c>
      <c r="U24" s="132">
        <f>+'[1]Exercise 6 - Inc-Ldfs'!D24/'[1]Exercise 6 - Rept Claim Ldfs'!D24</f>
        <v>5252.8806941431667</v>
      </c>
      <c r="V24" s="132">
        <f>+'[1]Exercise 6 - Inc-Ldfs'!E24/'[1]Exercise 6 - Rept Claim Ldfs'!E24</f>
        <v>6180.5329087048831</v>
      </c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</row>
    <row r="25" spans="1:33">
      <c r="A25" s="49">
        <f t="shared" si="1"/>
        <v>2014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S25" s="132">
        <f>+'[1]Exercise 6 - Inc-Ldfs'!B25/'[1]Exercise 6 - Rept Claim Ldfs'!B25</f>
        <v>3603.4613259668508</v>
      </c>
      <c r="T25" s="132">
        <f>+'[1]Exercise 6 - Inc-Ldfs'!C25/'[1]Exercise 6 - Rept Claim Ldfs'!C25</f>
        <v>5977.9448275862069</v>
      </c>
      <c r="U25" s="132">
        <f>+'[1]Exercise 6 - Inc-Ldfs'!D25/'[1]Exercise 6 - Rept Claim Ldfs'!D25</f>
        <v>6813.2550335570468</v>
      </c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</row>
    <row r="26" spans="1:33">
      <c r="A26" s="49">
        <f>+A27-1</f>
        <v>2015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S26" s="132">
        <f>+'[1]Exercise 6 - Inc-Ldfs'!B26/'[1]Exercise 6 - Rept Claim Ldfs'!B26</f>
        <v>5129.7692307692305</v>
      </c>
      <c r="T26" s="132">
        <f>+'[1]Exercise 6 - Inc-Ldfs'!C26/'[1]Exercise 6 - Rept Claim Ldfs'!C26</f>
        <v>6180.2757731958764</v>
      </c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</row>
    <row r="27" spans="1:33">
      <c r="A27" s="51">
        <f>+EndYear</f>
        <v>2016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S27" s="132">
        <f>+'[1]Exercise 6 - Inc-Ldfs'!B27/'[1]Exercise 6 - Rept Claim Ldfs'!B27</f>
        <v>7754.3278688524588</v>
      </c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</row>
    <row r="28" spans="1:33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33"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spans="1:33">
      <c r="A30" s="38" t="s">
        <v>99</v>
      </c>
    </row>
    <row r="31" spans="1:33">
      <c r="A31" s="38"/>
    </row>
    <row r="32" spans="1:33">
      <c r="A32" s="38"/>
    </row>
    <row r="34" spans="1:34">
      <c r="A34" s="40" t="str">
        <f>'[1]Exercise 6 - Paid-Ldfs'!$A$10</f>
        <v>Accident</v>
      </c>
      <c r="B34" s="41" t="s">
        <v>4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2"/>
    </row>
    <row r="35" spans="1:34">
      <c r="A35" s="43" t="s">
        <v>5</v>
      </c>
      <c r="B35" s="44">
        <v>12</v>
      </c>
      <c r="C35" s="44">
        <f t="shared" ref="C35:P35" si="2">B35+12</f>
        <v>24</v>
      </c>
      <c r="D35" s="44">
        <f t="shared" si="2"/>
        <v>36</v>
      </c>
      <c r="E35" s="44">
        <f t="shared" si="2"/>
        <v>48</v>
      </c>
      <c r="F35" s="44">
        <f t="shared" si="2"/>
        <v>60</v>
      </c>
      <c r="G35" s="44">
        <f t="shared" si="2"/>
        <v>72</v>
      </c>
      <c r="H35" s="44">
        <f t="shared" si="2"/>
        <v>84</v>
      </c>
      <c r="I35" s="44">
        <f t="shared" si="2"/>
        <v>96</v>
      </c>
      <c r="J35" s="44">
        <f t="shared" si="2"/>
        <v>108</v>
      </c>
      <c r="K35" s="44">
        <f t="shared" si="2"/>
        <v>120</v>
      </c>
      <c r="L35" s="44">
        <f t="shared" si="2"/>
        <v>132</v>
      </c>
      <c r="M35" s="44">
        <f t="shared" si="2"/>
        <v>144</v>
      </c>
      <c r="N35" s="44">
        <f t="shared" si="2"/>
        <v>156</v>
      </c>
      <c r="O35" s="44">
        <f t="shared" si="2"/>
        <v>168</v>
      </c>
      <c r="P35" s="44">
        <f t="shared" si="2"/>
        <v>180</v>
      </c>
    </row>
    <row r="36" spans="1:34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</row>
    <row r="37" spans="1:34">
      <c r="A37" s="49">
        <f>+A13</f>
        <v>2002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AH37" s="132"/>
    </row>
    <row r="38" spans="1:34">
      <c r="A38" s="49">
        <f t="shared" ref="A38:A51" si="3">+A14</f>
        <v>2003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AH38" s="132"/>
    </row>
    <row r="39" spans="1:34">
      <c r="A39" s="49">
        <f t="shared" si="3"/>
        <v>2004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AH39" s="132"/>
    </row>
    <row r="40" spans="1:34">
      <c r="A40" s="49">
        <f t="shared" si="3"/>
        <v>2005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AH40" s="132"/>
    </row>
    <row r="41" spans="1:34">
      <c r="A41" s="49">
        <f t="shared" si="3"/>
        <v>2006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AH41" s="132"/>
    </row>
    <row r="42" spans="1:34">
      <c r="A42" s="49">
        <f t="shared" si="3"/>
        <v>2007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AH42" s="132"/>
    </row>
    <row r="43" spans="1:34">
      <c r="A43" s="49">
        <f t="shared" si="3"/>
        <v>2008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AH43" s="132"/>
    </row>
    <row r="44" spans="1:34">
      <c r="A44" s="49">
        <f t="shared" si="3"/>
        <v>2009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AH44" s="132"/>
    </row>
    <row r="45" spans="1:34">
      <c r="A45" s="49">
        <f t="shared" si="3"/>
        <v>2010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AH45" s="132"/>
    </row>
    <row r="46" spans="1:34">
      <c r="A46" s="49">
        <f t="shared" si="3"/>
        <v>2011</v>
      </c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AH46" s="132"/>
    </row>
    <row r="47" spans="1:34">
      <c r="A47" s="49">
        <f t="shared" si="3"/>
        <v>2012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AH47" s="132"/>
    </row>
    <row r="48" spans="1:34">
      <c r="A48" s="49">
        <f t="shared" si="3"/>
        <v>2013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AH48" s="132"/>
    </row>
    <row r="49" spans="1:34">
      <c r="A49" s="49">
        <f t="shared" si="3"/>
        <v>2014</v>
      </c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AH49" s="132"/>
    </row>
    <row r="50" spans="1:34">
      <c r="A50" s="49">
        <f t="shared" si="3"/>
        <v>2015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AH50" s="132"/>
    </row>
    <row r="51" spans="1:34">
      <c r="A51" s="49">
        <f t="shared" si="3"/>
        <v>2016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AH51" s="132"/>
    </row>
    <row r="52" spans="1:34">
      <c r="B52" s="52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</row>
    <row r="53" spans="1:34">
      <c r="B53" s="52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</row>
    <row r="54" spans="1:34">
      <c r="A54" s="38" t="s">
        <v>100</v>
      </c>
    </row>
    <row r="55" spans="1:34">
      <c r="A55" s="38"/>
    </row>
    <row r="56" spans="1:34">
      <c r="A56" s="38"/>
    </row>
    <row r="58" spans="1:34">
      <c r="A58" s="40" t="str">
        <f>'[1]Exercise 6 - Paid-Ldfs'!$A$10</f>
        <v>Accident</v>
      </c>
      <c r="B58" s="41" t="s">
        <v>4</v>
      </c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2"/>
    </row>
    <row r="59" spans="1:34">
      <c r="A59" s="43" t="s">
        <v>5</v>
      </c>
      <c r="B59" s="44">
        <v>12</v>
      </c>
      <c r="C59" s="44">
        <f t="shared" ref="C59:P59" si="4">B59+12</f>
        <v>24</v>
      </c>
      <c r="D59" s="44">
        <f t="shared" si="4"/>
        <v>36</v>
      </c>
      <c r="E59" s="44">
        <f t="shared" si="4"/>
        <v>48</v>
      </c>
      <c r="F59" s="44">
        <f t="shared" si="4"/>
        <v>60</v>
      </c>
      <c r="G59" s="44">
        <f t="shared" si="4"/>
        <v>72</v>
      </c>
      <c r="H59" s="44">
        <f t="shared" si="4"/>
        <v>84</v>
      </c>
      <c r="I59" s="44">
        <f t="shared" si="4"/>
        <v>96</v>
      </c>
      <c r="J59" s="44">
        <f t="shared" si="4"/>
        <v>108</v>
      </c>
      <c r="K59" s="44">
        <f t="shared" si="4"/>
        <v>120</v>
      </c>
      <c r="L59" s="44">
        <f t="shared" si="4"/>
        <v>132</v>
      </c>
      <c r="M59" s="44">
        <f t="shared" si="4"/>
        <v>144</v>
      </c>
      <c r="N59" s="44">
        <f t="shared" si="4"/>
        <v>156</v>
      </c>
      <c r="O59" s="44">
        <f t="shared" si="4"/>
        <v>168</v>
      </c>
      <c r="P59" s="44">
        <f t="shared" si="4"/>
        <v>180</v>
      </c>
    </row>
    <row r="60" spans="1:34">
      <c r="A60" s="46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</row>
    <row r="61" spans="1:34">
      <c r="A61" s="49">
        <f>+A13</f>
        <v>2002</v>
      </c>
      <c r="B61" s="130"/>
      <c r="C61" s="130"/>
      <c r="D61" s="130"/>
      <c r="E61" s="130"/>
      <c r="F61" s="130"/>
      <c r="G61" s="130"/>
      <c r="H61" s="130"/>
      <c r="I61" s="130"/>
      <c r="J61" s="133"/>
      <c r="K61" s="133"/>
      <c r="L61" s="133"/>
      <c r="M61" s="133"/>
      <c r="N61" s="133"/>
      <c r="O61" s="133"/>
      <c r="P61" s="133"/>
    </row>
    <row r="62" spans="1:34">
      <c r="A62" s="49">
        <f t="shared" ref="A62:A75" si="5">+A14</f>
        <v>2003</v>
      </c>
      <c r="B62" s="130"/>
      <c r="C62" s="130"/>
      <c r="D62" s="130"/>
      <c r="E62" s="130"/>
      <c r="F62" s="130"/>
      <c r="G62" s="130"/>
      <c r="H62" s="130"/>
      <c r="I62" s="130"/>
      <c r="J62" s="133"/>
      <c r="K62" s="133"/>
      <c r="L62" s="133"/>
      <c r="M62" s="133"/>
      <c r="N62" s="133"/>
      <c r="O62" s="133"/>
      <c r="P62" s="130"/>
    </row>
    <row r="63" spans="1:34">
      <c r="A63" s="49">
        <f t="shared" si="5"/>
        <v>2004</v>
      </c>
      <c r="B63" s="130"/>
      <c r="C63" s="130"/>
      <c r="D63" s="130"/>
      <c r="E63" s="130"/>
      <c r="F63" s="130"/>
      <c r="G63" s="130"/>
      <c r="H63" s="130"/>
      <c r="I63" s="130"/>
      <c r="J63" s="133"/>
      <c r="K63" s="133"/>
      <c r="L63" s="133"/>
      <c r="M63" s="133"/>
      <c r="N63" s="133"/>
      <c r="O63" s="130"/>
      <c r="P63" s="130"/>
    </row>
    <row r="64" spans="1:34">
      <c r="A64" s="49">
        <f t="shared" si="5"/>
        <v>2005</v>
      </c>
      <c r="B64" s="130"/>
      <c r="C64" s="130"/>
      <c r="D64" s="130"/>
      <c r="E64" s="130"/>
      <c r="F64" s="130"/>
      <c r="G64" s="130"/>
      <c r="H64" s="130"/>
      <c r="I64" s="130"/>
      <c r="J64" s="133"/>
      <c r="K64" s="133"/>
      <c r="L64" s="133"/>
      <c r="M64" s="133"/>
      <c r="N64" s="130"/>
      <c r="O64" s="130"/>
      <c r="P64" s="130"/>
    </row>
    <row r="65" spans="1:16">
      <c r="A65" s="49">
        <f t="shared" si="5"/>
        <v>2006</v>
      </c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4"/>
      <c r="M65" s="130"/>
      <c r="N65" s="130"/>
      <c r="O65" s="130"/>
      <c r="P65" s="130"/>
    </row>
    <row r="66" spans="1:16">
      <c r="A66" s="49">
        <f t="shared" si="5"/>
        <v>2007</v>
      </c>
      <c r="B66" s="130"/>
      <c r="C66" s="130"/>
      <c r="D66" s="130"/>
      <c r="E66" s="130"/>
      <c r="F66" s="130"/>
      <c r="G66" s="130"/>
      <c r="H66" s="130"/>
      <c r="I66" s="130"/>
      <c r="J66" s="130"/>
      <c r="K66" s="133"/>
      <c r="L66" s="130"/>
      <c r="M66" s="130"/>
      <c r="N66" s="130"/>
      <c r="O66" s="130"/>
      <c r="P66" s="130"/>
    </row>
    <row r="67" spans="1:16">
      <c r="A67" s="49">
        <f t="shared" si="5"/>
        <v>2008</v>
      </c>
      <c r="B67" s="130"/>
      <c r="C67" s="130"/>
      <c r="D67" s="130"/>
      <c r="E67" s="130"/>
      <c r="F67" s="130"/>
      <c r="G67" s="130"/>
      <c r="H67" s="130"/>
      <c r="I67" s="133"/>
      <c r="J67" s="133"/>
      <c r="K67" s="130"/>
      <c r="L67" s="130"/>
      <c r="M67" s="130"/>
      <c r="N67" s="130"/>
      <c r="O67" s="130"/>
      <c r="P67" s="130"/>
    </row>
    <row r="68" spans="1:16">
      <c r="A68" s="49">
        <f t="shared" si="5"/>
        <v>2009</v>
      </c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</row>
    <row r="69" spans="1:16">
      <c r="A69" s="49">
        <f t="shared" si="5"/>
        <v>2010</v>
      </c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</row>
    <row r="70" spans="1:16">
      <c r="A70" s="49">
        <f t="shared" si="5"/>
        <v>2011</v>
      </c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</row>
    <row r="71" spans="1:16">
      <c r="A71" s="49">
        <f t="shared" si="5"/>
        <v>2012</v>
      </c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</row>
    <row r="72" spans="1:16">
      <c r="A72" s="49">
        <f t="shared" si="5"/>
        <v>2013</v>
      </c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</row>
    <row r="73" spans="1:16">
      <c r="A73" s="49">
        <f t="shared" si="5"/>
        <v>2014</v>
      </c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</row>
    <row r="74" spans="1:16">
      <c r="A74" s="49">
        <f t="shared" si="5"/>
        <v>2015</v>
      </c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</row>
    <row r="75" spans="1:16">
      <c r="A75" s="49">
        <f t="shared" si="5"/>
        <v>2016</v>
      </c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</row>
    <row r="76" spans="1:16">
      <c r="B76" s="52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</row>
    <row r="110" spans="2:16">
      <c r="B110" s="132">
        <f>+'Exercise 6 - Paid LDFs'!B10/'Excercise 6 - Closed Claim LDFs'!B13</f>
        <v>1152.8506861642295</v>
      </c>
      <c r="C110" s="132">
        <f>+'Exercise 6 - Paid LDFs'!C10/'Excercise 6 - Closed Claim LDFs'!C13</f>
        <v>2357.2596962794232</v>
      </c>
      <c r="D110" s="132">
        <f>+'Exercise 6 - Paid LDFs'!D10/'Excercise 6 - Closed Claim LDFs'!D13</f>
        <v>4005.3108227848102</v>
      </c>
      <c r="E110" s="132">
        <f>+'Exercise 6 - Paid LDFs'!E10/'Excercise 6 - Closed Claim LDFs'!E13</f>
        <v>5006.9850811907982</v>
      </c>
      <c r="F110" s="132">
        <f>+'Exercise 6 - Paid LDFs'!F10/'Excercise 6 - Closed Claim LDFs'!F13</f>
        <v>5893.5065528562045</v>
      </c>
      <c r="G110" s="132">
        <f>+'Exercise 6 - Paid LDFs'!G10/'Excercise 6 - Closed Claim LDFs'!G13</f>
        <v>6125.9922733160629</v>
      </c>
      <c r="H110" s="132">
        <f>+'Exercise 6 - Paid LDFs'!H10/'Excercise 6 - Closed Claim LDFs'!H13</f>
        <v>6273.372903225807</v>
      </c>
      <c r="I110" s="132">
        <f>+'Exercise 6 - Paid LDFs'!I10/'Excercise 6 - Closed Claim LDFs'!I13</f>
        <v>6313.0077021822844</v>
      </c>
      <c r="J110" s="132">
        <f>+'Exercise 6 - Paid LDFs'!J10/'Excercise 6 - Closed Claim LDFs'!J13</f>
        <v>6417.6792815907638</v>
      </c>
      <c r="K110" s="132">
        <f>+'Exercise 6 - Paid LDFs'!K10/'Excercise 6 - Closed Claim LDFs'!K13</f>
        <v>6512.3094170403583</v>
      </c>
      <c r="L110" s="132">
        <f>+'Exercise 6 - Paid LDFs'!L10/'Excercise 6 - Closed Claim LDFs'!L13</f>
        <v>7270.2600638977647</v>
      </c>
      <c r="M110" s="132">
        <f>+'Exercise 6 - Paid LDFs'!M10/'Excercise 6 - Closed Claim LDFs'!M13</f>
        <v>7674.4164878671763</v>
      </c>
      <c r="N110" s="132">
        <f>+'Exercise 6 - Paid LDFs'!N10/'Excercise 6 - Closed Claim LDFs'!N13</f>
        <v>7712.7885703065122</v>
      </c>
      <c r="O110" s="132">
        <f>+'Exercise 6 - Paid LDFs'!O10/'Excercise 6 - Closed Claim LDFs'!O13</f>
        <v>7789.9164560095769</v>
      </c>
      <c r="P110" s="132">
        <f>+'Exercise 6 - Paid LDFs'!P10/'Excercise 6 - Closed Claim LDFs'!P13</f>
        <v>7789.9164560095769</v>
      </c>
    </row>
    <row r="111" spans="2:16">
      <c r="B111" s="132">
        <f>+'Exercise 6 - Paid LDFs'!B11/'Excercise 6 - Closed Claim LDFs'!B14</f>
        <v>912.4219614147911</v>
      </c>
      <c r="C111" s="132">
        <f>+'Exercise 6 - Paid LDFs'!C11/'Excercise 6 - Closed Claim LDFs'!C14</f>
        <v>2528.454411764706</v>
      </c>
      <c r="D111" s="132">
        <f>+'Exercise 6 - Paid LDFs'!D11/'Excercise 6 - Closed Claim LDFs'!D14</f>
        <v>4441.8062083333334</v>
      </c>
      <c r="E111" s="132">
        <f>+'Exercise 6 - Paid LDFs'!E11/'Excercise 6 - Closed Claim LDFs'!E14</f>
        <v>5120.7649402390434</v>
      </c>
      <c r="F111" s="132">
        <f>+'Exercise 6 - Paid LDFs'!F11/'Excercise 6 - Closed Claim LDFs'!F14</f>
        <v>5159.80078125</v>
      </c>
      <c r="G111" s="132">
        <f>+'Exercise 6 - Paid LDFs'!G11/'Excercise 6 - Closed Claim LDFs'!G14</f>
        <v>5256.8227360308283</v>
      </c>
      <c r="H111" s="132">
        <f>+'Exercise 6 - Paid LDFs'!H11/'Excercise 6 - Closed Claim LDFs'!H14</f>
        <v>5294.1480769230766</v>
      </c>
      <c r="I111" s="132">
        <f>+'Exercise 6 - Paid LDFs'!I11/'Excercise 6 - Closed Claim LDFs'!I14</f>
        <v>5325.9177820267687</v>
      </c>
      <c r="J111" s="132">
        <f>+'Exercise 6 - Paid LDFs'!J11/'Excercise 6 - Closed Claim LDFs'!J14</f>
        <v>5362.27724665392</v>
      </c>
      <c r="K111" s="132">
        <f>+'Exercise 6 - Paid LDFs'!K11/'Excercise 6 - Closed Claim LDFs'!K14</f>
        <v>5370.4971319311662</v>
      </c>
      <c r="L111" s="132">
        <f>+'Exercise 6 - Paid LDFs'!L11/'Excercise 6 - Closed Claim LDFs'!L14</f>
        <v>5410.8263358778622</v>
      </c>
      <c r="M111" s="132">
        <f>+'Exercise 6 - Paid LDFs'!M11/'Excercise 6 - Closed Claim LDFs'!M14</f>
        <v>5508.6183206106871</v>
      </c>
      <c r="N111" s="132">
        <f>+'Exercise 6 - Paid LDFs'!N11/'Excercise 6 - Closed Claim LDFs'!N14</f>
        <v>6265.0419047619043</v>
      </c>
      <c r="O111" s="132">
        <f>+'Exercise 6 - Paid LDFs'!O11/'Excercise 6 - Closed Claim LDFs'!O14</f>
        <v>6218.6852851711028</v>
      </c>
      <c r="P111" s="132"/>
    </row>
    <row r="112" spans="2:16">
      <c r="B112" s="132">
        <f>+'Exercise 6 - Paid LDFs'!B12/'Excercise 6 - Closed Claim LDFs'!B15</f>
        <v>1399.0047500000001</v>
      </c>
      <c r="C112" s="132">
        <f>+'Exercise 6 - Paid LDFs'!C12/'Excercise 6 - Closed Claim LDFs'!C15</f>
        <v>2580.5952927400467</v>
      </c>
      <c r="D112" s="132">
        <f>+'Exercise 6 - Paid LDFs'!D12/'Excercise 6 - Closed Claim LDFs'!D15</f>
        <v>5048.9849462365592</v>
      </c>
      <c r="E112" s="132">
        <f>+'Exercise 6 - Paid LDFs'!E12/'Excercise 6 - Closed Claim LDFs'!E15</f>
        <v>6139.0395010395014</v>
      </c>
      <c r="F112" s="132">
        <f>+'Exercise 6 - Paid LDFs'!F12/'Excercise 6 - Closed Claim LDFs'!F15</f>
        <v>7549.6880000000001</v>
      </c>
      <c r="G112" s="132">
        <f>+'Exercise 6 - Paid LDFs'!G12/'Excercise 6 - Closed Claim LDFs'!G15</f>
        <v>7569.7303149606296</v>
      </c>
      <c r="H112" s="132">
        <f>+'Exercise 6 - Paid LDFs'!H12/'Excercise 6 - Closed Claim LDFs'!H15</f>
        <v>7579.4</v>
      </c>
      <c r="I112" s="132">
        <f>+'Exercise 6 - Paid LDFs'!I12/'Excercise 6 - Closed Claim LDFs'!I15</f>
        <v>7550.474609375</v>
      </c>
      <c r="J112" s="132">
        <f>+'Exercise 6 - Paid LDFs'!J12/'Excercise 6 - Closed Claim LDFs'!J15</f>
        <v>7550.474609375</v>
      </c>
      <c r="K112" s="132">
        <f>+'Exercise 6 - Paid LDFs'!K12/'Excercise 6 - Closed Claim LDFs'!K15</f>
        <v>7550.78125</v>
      </c>
      <c r="L112" s="132">
        <f>+'Exercise 6 - Paid LDFs'!L12/'Excercise 6 - Closed Claim LDFs'!L15</f>
        <v>7685.771484375</v>
      </c>
      <c r="M112" s="132">
        <f>+'Exercise 6 - Paid LDFs'!M12/'Excercise 6 - Closed Claim LDFs'!M15</f>
        <v>8917.9005847953213</v>
      </c>
      <c r="N112" s="132">
        <f>+'Exercise 6 - Paid LDFs'!N12/'Excercise 6 - Closed Claim LDFs'!N15</f>
        <v>8941.3508771929828</v>
      </c>
      <c r="O112" s="132"/>
      <c r="P112" s="132"/>
    </row>
    <row r="113" spans="2:16">
      <c r="B113" s="132">
        <f>+'Exercise 6 - Paid LDFs'!B13/'Excercise 6 - Closed Claim LDFs'!B16</f>
        <v>1172.4822147651007</v>
      </c>
      <c r="C113" s="132">
        <f>+'Exercise 6 - Paid LDFs'!C13/'Excercise 6 - Closed Claim LDFs'!C16</f>
        <v>1975.4910267857142</v>
      </c>
      <c r="D113" s="132">
        <f>+'Exercise 6 - Paid LDFs'!D13/'Excercise 6 - Closed Claim LDFs'!D16</f>
        <v>2548.6520125786164</v>
      </c>
      <c r="E113" s="132">
        <f>+'Exercise 6 - Paid LDFs'!E13/'Excercise 6 - Closed Claim LDFs'!E16</f>
        <v>3791.5594949494953</v>
      </c>
      <c r="F113" s="132">
        <f>+'Exercise 6 - Paid LDFs'!F13/'Excercise 6 - Closed Claim LDFs'!F16</f>
        <v>5008.1183561643838</v>
      </c>
      <c r="G113" s="132">
        <f>+'Exercise 6 - Paid LDFs'!G13/'Excercise 6 - Closed Claim LDFs'!G16</f>
        <v>5579.9188974854942</v>
      </c>
      <c r="H113" s="132">
        <f>+'Exercise 6 - Paid LDFs'!H13/'Excercise 6 - Closed Claim LDFs'!H16</f>
        <v>5971.6865384615385</v>
      </c>
      <c r="I113" s="132">
        <f>+'Exercise 6 - Paid LDFs'!I13/'Excercise 6 - Closed Claim LDFs'!I16</f>
        <v>6088.6577437858505</v>
      </c>
      <c r="J113" s="132">
        <f>+'Exercise 6 - Paid LDFs'!J13/'Excercise 6 - Closed Claim LDFs'!J16</f>
        <v>6364.2137404580153</v>
      </c>
      <c r="K113" s="132">
        <f>+'Exercise 6 - Paid LDFs'!K13/'Excercise 6 - Closed Claim LDFs'!K16</f>
        <v>6636.777566539924</v>
      </c>
      <c r="L113" s="132">
        <f>+'Exercise 6 - Paid LDFs'!L13/'Excercise 6 - Closed Claim LDFs'!L16</f>
        <v>8709.9603024574662</v>
      </c>
      <c r="M113" s="132">
        <f>+'Exercise 6 - Paid LDFs'!M13/'Excercise 6 - Closed Claim LDFs'!M16</f>
        <v>8613.8699810964081</v>
      </c>
      <c r="N113" s="132"/>
      <c r="O113" s="132"/>
      <c r="P113" s="132"/>
    </row>
    <row r="114" spans="2:16">
      <c r="B114" s="132">
        <f>+'Exercise 6 - Paid LDFs'!B14/'Excercise 6 - Closed Claim LDFs'!B17</f>
        <v>984.07554959785523</v>
      </c>
      <c r="C114" s="132">
        <f>+'Exercise 6 - Paid LDFs'!C14/'Excercise 6 - Closed Claim LDFs'!C17</f>
        <v>1330.6170961145194</v>
      </c>
      <c r="D114" s="132">
        <f>+'Exercise 6 - Paid LDFs'!D14/'Excercise 6 - Closed Claim LDFs'!D17</f>
        <v>2875.3563850687619</v>
      </c>
      <c r="E114" s="132">
        <f>+'Exercise 6 - Paid LDFs'!E14/'Excercise 6 - Closed Claim LDFs'!E17</f>
        <v>4649.7023251417768</v>
      </c>
      <c r="F114" s="132">
        <f>+'Exercise 6 - Paid LDFs'!F14/'Excercise 6 - Closed Claim LDFs'!F17</f>
        <v>5298.8732037037034</v>
      </c>
      <c r="G114" s="132">
        <f>+'Exercise 6 - Paid LDFs'!G14/'Excercise 6 - Closed Claim LDFs'!G17</f>
        <v>6036.7239488117002</v>
      </c>
      <c r="H114" s="132">
        <f>+'Exercise 6 - Paid LDFs'!H14/'Excercise 6 - Closed Claim LDFs'!H17</f>
        <v>6271.9927404718692</v>
      </c>
      <c r="I114" s="132">
        <f>+'Exercise 6 - Paid LDFs'!I14/'Excercise 6 - Closed Claim LDFs'!I17</f>
        <v>6485.3183453237407</v>
      </c>
      <c r="J114" s="132">
        <f>+'Exercise 6 - Paid LDFs'!J14/'Excercise 6 - Closed Claim LDFs'!J17</f>
        <v>6908.5529622980248</v>
      </c>
      <c r="K114" s="132">
        <f>+'Exercise 6 - Paid LDFs'!K14/'Excercise 6 - Closed Claim LDFs'!K17</f>
        <v>7114.9692585895118</v>
      </c>
      <c r="L114" s="132">
        <f>+'Exercise 6 - Paid LDFs'!L14/'Excercise 6 - Closed Claim LDFs'!L17</f>
        <v>7866.1200180505421</v>
      </c>
      <c r="M114" s="132"/>
      <c r="N114" s="132"/>
      <c r="O114" s="132"/>
      <c r="P114" s="132"/>
    </row>
    <row r="115" spans="2:16">
      <c r="B115" s="132">
        <f>+'Exercise 6 - Paid LDFs'!B15/'Excercise 6 - Closed Claim LDFs'!B18</f>
        <v>1243.8742585551333</v>
      </c>
      <c r="C115" s="132">
        <f>+'Exercise 6 - Paid LDFs'!C15/'Excercise 6 - Closed Claim LDFs'!C18</f>
        <v>1785.6304812834226</v>
      </c>
      <c r="D115" s="132">
        <f>+'Exercise 6 - Paid LDFs'!D15/'Excercise 6 - Closed Claim LDFs'!D18</f>
        <v>3068.0006030150753</v>
      </c>
      <c r="E115" s="132">
        <f>+'Exercise 6 - Paid LDFs'!E15/'Excercise 6 - Closed Claim LDFs'!E18</f>
        <v>4149.3343276283622</v>
      </c>
      <c r="F115" s="132">
        <f>+'Exercise 6 - Paid LDFs'!F15/'Excercise 6 - Closed Claim LDFs'!F18</f>
        <v>5282.7594339622638</v>
      </c>
      <c r="G115" s="132">
        <f>+'Exercise 6 - Paid LDFs'!G15/'Excercise 6 - Closed Claim LDFs'!G18</f>
        <v>5740.0441860465116</v>
      </c>
      <c r="H115" s="132">
        <f>+'Exercise 6 - Paid LDFs'!H15/'Excercise 6 - Closed Claim LDFs'!H18</f>
        <v>5973.176334106729</v>
      </c>
      <c r="I115" s="132">
        <f>+'Exercise 6 - Paid LDFs'!I15/'Excercise 6 - Closed Claim LDFs'!I18</f>
        <v>6541.2505800464041</v>
      </c>
      <c r="J115" s="132">
        <f>+'Exercise 6 - Paid LDFs'!J15/'Excercise 6 - Closed Claim LDFs'!J18</f>
        <v>7468.6027713625863</v>
      </c>
      <c r="K115" s="132">
        <f>+'Exercise 6 - Paid LDFs'!K15/'Excercise 6 - Closed Claim LDFs'!K18</f>
        <v>7331.0681524249421</v>
      </c>
      <c r="L115" s="132"/>
      <c r="M115" s="132"/>
      <c r="N115" s="132"/>
      <c r="O115" s="132"/>
      <c r="P115" s="132"/>
    </row>
    <row r="116" spans="2:16">
      <c r="B116" s="132">
        <f>+'Exercise 6 - Paid LDFs'!B16/'Excercise 6 - Closed Claim LDFs'!B19</f>
        <v>1116.1489338235294</v>
      </c>
      <c r="C116" s="132">
        <f>+'Exercise 6 - Paid LDFs'!C16/'Excercise 6 - Closed Claim LDFs'!C19</f>
        <v>1761.9038999999998</v>
      </c>
      <c r="D116" s="132">
        <f>+'Exercise 6 - Paid LDFs'!D16/'Excercise 6 - Closed Claim LDFs'!D19</f>
        <v>2776.3069069767439</v>
      </c>
      <c r="E116" s="132">
        <f>+'Exercise 6 - Paid LDFs'!E16/'Excercise 6 - Closed Claim LDFs'!E19</f>
        <v>3387.609375</v>
      </c>
      <c r="F116" s="132">
        <f>+'Exercise 6 - Paid LDFs'!F16/'Excercise 6 - Closed Claim LDFs'!F19</f>
        <v>3570.8884026258206</v>
      </c>
      <c r="G116" s="132">
        <f>+'Exercise 6 - Paid LDFs'!G16/'Excercise 6 - Closed Claim LDFs'!G19</f>
        <v>3739.8556034482758</v>
      </c>
      <c r="H116" s="132">
        <f>+'Exercise 6 - Paid LDFs'!H16/'Excercise 6 - Closed Claim LDFs'!H19</f>
        <v>4078.2398286937901</v>
      </c>
      <c r="I116" s="132">
        <f>+'Exercise 6 - Paid LDFs'!I16/'Excercise 6 - Closed Claim LDFs'!I19</f>
        <v>4743.3805496828754</v>
      </c>
      <c r="J116" s="132">
        <f>+'Exercise 6 - Paid LDFs'!J16/'Excercise 6 - Closed Claim LDFs'!J19</f>
        <v>4925.7737843551795</v>
      </c>
      <c r="K116" s="132"/>
      <c r="L116" s="132"/>
      <c r="M116" s="132"/>
      <c r="N116" s="132"/>
      <c r="O116" s="132"/>
      <c r="P116" s="132"/>
    </row>
    <row r="117" spans="2:16">
      <c r="B117" s="132">
        <f>+'Exercise 6 - Paid LDFs'!B17/'Excercise 6 - Closed Claim LDFs'!B20</f>
        <v>1672.5327666666665</v>
      </c>
      <c r="C117" s="132">
        <f>+'Exercise 6 - Paid LDFs'!C17/'Excercise 6 - Closed Claim LDFs'!C20</f>
        <v>2333.9594663573084</v>
      </c>
      <c r="D117" s="132">
        <f>+'Exercise 6 - Paid LDFs'!D17/'Excercise 6 - Closed Claim LDFs'!D20</f>
        <v>2889.8987068965516</v>
      </c>
      <c r="E117" s="132">
        <f>+'Exercise 6 - Paid LDFs'!E17/'Excercise 6 - Closed Claim LDFs'!E20</f>
        <v>3233.449790794979</v>
      </c>
      <c r="F117" s="132">
        <f>+'Exercise 6 - Paid LDFs'!F17/'Excercise 6 - Closed Claim LDFs'!F20</f>
        <v>4517.6775510204079</v>
      </c>
      <c r="G117" s="132">
        <f>+'Exercise 6 - Paid LDFs'!G17/'Excercise 6 - Closed Claim LDFs'!G20</f>
        <v>4817.3069105691056</v>
      </c>
      <c r="H117" s="132">
        <f>+'Exercise 6 - Paid LDFs'!H17/'Excercise 6 - Closed Claim LDFs'!H20</f>
        <v>4935.3923541247486</v>
      </c>
      <c r="I117" s="132">
        <f>+'Exercise 6 - Paid LDFs'!I17/'Excercise 6 - Closed Claim LDFs'!I20</f>
        <v>4957.73032193159</v>
      </c>
      <c r="J117" s="132"/>
      <c r="K117" s="132"/>
      <c r="L117" s="132"/>
      <c r="M117" s="132"/>
      <c r="N117" s="132"/>
      <c r="O117" s="132"/>
      <c r="P117" s="132"/>
    </row>
    <row r="118" spans="2:16">
      <c r="B118" s="132">
        <f>+'Exercise 6 - Paid LDFs'!B18/'Excercise 6 - Closed Claim LDFs'!B21</f>
        <v>1031.3179109589039</v>
      </c>
      <c r="C118" s="132">
        <f>+'Exercise 6 - Paid LDFs'!C18/'Excercise 6 - Closed Claim LDFs'!C21</f>
        <v>1493.5691609977325</v>
      </c>
      <c r="D118" s="132">
        <f>+'Exercise 6 - Paid LDFs'!D18/'Excercise 6 - Closed Claim LDFs'!D21</f>
        <v>2612.4762931034484</v>
      </c>
      <c r="E118" s="132">
        <f>+'Exercise 6 - Paid LDFs'!E18/'Excercise 6 - Closed Claim LDFs'!E21</f>
        <v>5022.2685950413224</v>
      </c>
      <c r="F118" s="132">
        <f>+'Exercise 6 - Paid LDFs'!F18/'Excercise 6 - Closed Claim LDFs'!F21</f>
        <v>5833.9331983805669</v>
      </c>
      <c r="G118" s="132">
        <f>+'Exercise 6 - Paid LDFs'!G18/'Excercise 6 - Closed Claim LDFs'!G21</f>
        <v>6124.3192771084341</v>
      </c>
      <c r="H118" s="132">
        <f>+'Exercise 6 - Paid LDFs'!H18/'Excercise 6 - Closed Claim LDFs'!H21</f>
        <v>6312.2789199999997</v>
      </c>
      <c r="I118" s="132"/>
      <c r="J118" s="132"/>
      <c r="K118" s="132"/>
      <c r="L118" s="132"/>
      <c r="M118" s="132"/>
      <c r="N118" s="132"/>
      <c r="O118" s="132"/>
      <c r="P118" s="132"/>
    </row>
    <row r="119" spans="2:16">
      <c r="B119" s="132">
        <f>+'Exercise 6 - Paid LDFs'!B19/'Excercise 6 - Closed Claim LDFs'!B22</f>
        <v>1159.5</v>
      </c>
      <c r="C119" s="132">
        <f>+'Exercise 6 - Paid LDFs'!C19/'Excercise 6 - Closed Claim LDFs'!C22</f>
        <v>2934.7936507936506</v>
      </c>
      <c r="D119" s="132">
        <f>+'Exercise 6 - Paid LDFs'!D19/'Excercise 6 - Closed Claim LDFs'!D22</f>
        <v>4825.4137931034484</v>
      </c>
      <c r="E119" s="132">
        <f>+'Exercise 6 - Paid LDFs'!E19/'Excercise 6 - Closed Claim LDFs'!E22</f>
        <v>7595.9692671394796</v>
      </c>
      <c r="F119" s="132">
        <f>+'Exercise 6 - Paid LDFs'!F19/'Excercise 6 - Closed Claim LDFs'!F22</f>
        <v>13913.214932126697</v>
      </c>
      <c r="G119" s="132">
        <f>+'Exercise 6 - Paid LDFs'!G19/'Excercise 6 - Closed Claim LDFs'!G22</f>
        <v>15521.838202247191</v>
      </c>
      <c r="H119" s="132"/>
      <c r="I119" s="132"/>
      <c r="J119" s="132"/>
      <c r="K119" s="132"/>
      <c r="L119" s="132"/>
      <c r="M119" s="132"/>
      <c r="N119" s="132"/>
      <c r="O119" s="132"/>
      <c r="P119" s="132"/>
    </row>
    <row r="120" spans="2:16">
      <c r="B120" s="132">
        <f>+'Exercise 6 - Paid LDFs'!B20/'Excercise 6 - Closed Claim LDFs'!B23</f>
        <v>2990.4852459016392</v>
      </c>
      <c r="C120" s="132">
        <f>+'Exercise 6 - Paid LDFs'!C20/'Excercise 6 - Closed Claim LDFs'!C23</f>
        <v>3825.0975056689344</v>
      </c>
      <c r="D120" s="132">
        <f>+'Exercise 6 - Paid LDFs'!D20/'Excercise 6 - Closed Claim LDFs'!D23</f>
        <v>4158.9284164859</v>
      </c>
      <c r="E120" s="132">
        <f>+'Exercise 6 - Paid LDFs'!E20/'Excercise 6 - Closed Claim LDFs'!E23</f>
        <v>5817.343220338983</v>
      </c>
      <c r="F120" s="132">
        <f>+'Exercise 6 - Paid LDFs'!F20/'Excercise 6 - Closed Claim LDFs'!F23</f>
        <v>8574.0248962655605</v>
      </c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</row>
    <row r="121" spans="2:16">
      <c r="B121" s="132">
        <f>+'Exercise 6 - Paid LDFs'!B21/'Excercise 6 - Closed Claim LDFs'!B24</f>
        <v>1308.5675675675675</v>
      </c>
      <c r="C121" s="132">
        <f>+'Exercise 6 - Paid LDFs'!C21/'Excercise 6 - Closed Claim LDFs'!C24</f>
        <v>2226.4197530864199</v>
      </c>
      <c r="D121" s="132">
        <f>+'Exercise 6 - Paid LDFs'!D21/'Excercise 6 - Closed Claim LDFs'!D24</f>
        <v>3093.2068965517242</v>
      </c>
      <c r="E121" s="132">
        <f>+'Exercise 6 - Paid LDFs'!E21/'Excercise 6 - Closed Claim LDFs'!E24</f>
        <v>3908.8781415929202</v>
      </c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</row>
    <row r="122" spans="2:16">
      <c r="B122" s="132">
        <f>+'Exercise 6 - Paid LDFs'!B22/'Excercise 6 - Closed Claim LDFs'!B25</f>
        <v>1430.0801687763712</v>
      </c>
      <c r="C122" s="132">
        <f>+'Exercise 6 - Paid LDFs'!C22/'Excercise 6 - Closed Claim LDFs'!C25</f>
        <v>2127.2201591511935</v>
      </c>
      <c r="D122" s="132">
        <f>+'Exercise 6 - Paid LDFs'!D22/'Excercise 6 - Closed Claim LDFs'!D25</f>
        <v>4018.4927184466019</v>
      </c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</row>
    <row r="123" spans="2:16">
      <c r="B123" s="132">
        <f>+'Exercise 6 - Paid LDFs'!B23/'Excercise 6 - Closed Claim LDFs'!B26</f>
        <v>1592.5391705069123</v>
      </c>
      <c r="C123" s="132">
        <f>+'Exercise 6 - Paid LDFs'!C23/'Excercise 6 - Closed Claim LDFs'!C26</f>
        <v>1797.68</v>
      </c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</row>
    <row r="124" spans="2:16">
      <c r="B124" s="132">
        <f>+'Exercise 6 - Paid LDFs'!B24/'Excercise 6 - Closed Claim LDFs'!B27</f>
        <v>1758.7018348623853</v>
      </c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</row>
    <row r="134" spans="2:16">
      <c r="B134" s="132">
        <f>IF(('[1]Exercise 6 - Rept Claim Ldfs'!B13-'[1]Exercise 6 - Closed Claim Ldfs'!B13)=0,0,+('[1]Exercise 6 - Inc-Ldfs'!B13-'[1]Exercise 6 - Paid-Ldfs'!B13)/('[1]Exercise 6 - Rept Claim Ldfs'!B13-'[1]Exercise 6 - Closed Claim Ldfs'!B13))</f>
        <v>18691.477079796263</v>
      </c>
      <c r="C134" s="132">
        <f>IF(('[1]Exercise 6 - Rept Claim Ldfs'!C13-'[1]Exercise 6 - Closed Claim Ldfs'!C13)=0,"",+('[1]Exercise 6 - Inc-Ldfs'!C13-'[1]Exercise 6 - Paid-Ldfs'!C13)/('[1]Exercise 6 - Rept Claim Ldfs'!C13-'[1]Exercise 6 - Closed Claim Ldfs'!C13))</f>
        <v>37670.280701754396</v>
      </c>
      <c r="D134" s="132">
        <f>IF(('[1]Exercise 6 - Rept Claim Ldfs'!D13-'[1]Exercise 6 - Closed Claim Ldfs'!D13)=0,"",+('[1]Exercise 6 - Inc-Ldfs'!D13-'[1]Exercise 6 - Paid-Ldfs'!D13)/('[1]Exercise 6 - Rept Claim Ldfs'!D13-'[1]Exercise 6 - Closed Claim Ldfs'!D13))</f>
        <v>38051.523809523802</v>
      </c>
      <c r="E134" s="132">
        <f>IF(('[1]Exercise 6 - Rept Claim Ldfs'!E13-'[1]Exercise 6 - Closed Claim Ldfs'!E13)=0,"",+('[1]Exercise 6 - Inc-Ldfs'!E13-'[1]Exercise 6 - Paid-Ldfs'!E13)/('[1]Exercise 6 - Rept Claim Ldfs'!E13-'[1]Exercise 6 - Closed Claim Ldfs'!E13))</f>
        <v>41184.671532846776</v>
      </c>
      <c r="F134" s="132">
        <f>IF(('[1]Exercise 6 - Rept Claim Ldfs'!F13-'[1]Exercise 6 - Closed Claim Ldfs'!F13)=0,"",+('[1]Exercise 6 - Inc-Ldfs'!F13-'[1]Exercise 6 - Paid-Ldfs'!F13)/('[1]Exercise 6 - Rept Claim Ldfs'!F13-'[1]Exercise 6 - Closed Claim Ldfs'!F13))</f>
        <v>49718.352941176578</v>
      </c>
      <c r="G134" s="132">
        <f>IF(('[1]Exercise 6 - Rept Claim Ldfs'!G13-'[1]Exercise 6 - Closed Claim Ldfs'!G13)=0,"",+('[1]Exercise 6 - Inc-Ldfs'!G13-'[1]Exercise 6 - Paid-Ldfs'!G13)/('[1]Exercise 6 - Rept Claim Ldfs'!G13-'[1]Exercise 6 - Closed Claim Ldfs'!G13))</f>
        <v>67609.999999999432</v>
      </c>
      <c r="H134" s="132">
        <f>IF(('[1]Exercise 6 - Rept Claim Ldfs'!H13-'[1]Exercise 6 - Closed Claim Ldfs'!H13)=0,"",+('[1]Exercise 6 - Inc-Ldfs'!H13-'[1]Exercise 6 - Paid-Ldfs'!H13)/('[1]Exercise 6 - Rept Claim Ldfs'!H13-'[1]Exercise 6 - Closed Claim Ldfs'!H13))</f>
        <v>70260.235294116821</v>
      </c>
      <c r="I134" s="132">
        <f>IF(('[1]Exercise 6 - Rept Claim Ldfs'!I13-'[1]Exercise 6 - Closed Claim Ldfs'!I13)=0,"",+('[1]Exercise 6 - Inc-Ldfs'!I13-'[1]Exercise 6 - Paid-Ldfs'!I13)/('[1]Exercise 6 - Rept Claim Ldfs'!I13-'[1]Exercise 6 - Closed Claim Ldfs'!I13))</f>
        <v>215216.00000001176</v>
      </c>
      <c r="J134" s="132">
        <f>IF(('[1]Exercise 6 - Rept Claim Ldfs'!J13-'[1]Exercise 6 - Closed Claim Ldfs'!J13)=0,"",+('[1]Exercise 6 - Inc-Ldfs'!J13-'[1]Exercise 6 - Paid-Ldfs'!J13)/('[1]Exercise 6 - Rept Claim Ldfs'!J13-'[1]Exercise 6 - Closed Claim Ldfs'!J13))</f>
        <v>113210.74999999667</v>
      </c>
      <c r="K134" s="132">
        <f>IF(('[1]Exercise 6 - Rept Claim Ldfs'!K13-'[1]Exercise 6 - Closed Claim Ldfs'!K13)=0,"",+('[1]Exercise 6 - Inc-Ldfs'!K13-'[1]Exercise 6 - Paid-Ldfs'!K13)/('[1]Exercise 6 - Rept Claim Ldfs'!K13-'[1]Exercise 6 - Closed Claim Ldfs'!K13))</f>
        <v>279123.40000000654</v>
      </c>
      <c r="L134" s="132">
        <f>IF(('[1]Exercise 6 - Rept Claim Ldfs'!L13-'[1]Exercise 6 - Closed Claim Ldfs'!L13)=0,"",+('[1]Exercise 6 - Inc-Ldfs'!L13-'[1]Exercise 6 - Paid-Ldfs'!L13)/('[1]Exercise 6 - Rept Claim Ldfs'!L13-'[1]Exercise 6 - Closed Claim Ldfs'!L13))</f>
        <v>924580.99999989441</v>
      </c>
      <c r="M134" s="132" t="str">
        <f>IF(('[1]Exercise 6 - Rept Claim Ldfs'!M13-'[1]Exercise 6 - Closed Claim Ldfs'!M13)=0,"",+('[1]Exercise 6 - Inc-Ldfs'!M13-'[1]Exercise 6 - Paid-Ldfs'!M13)/('[1]Exercise 6 - Rept Claim Ldfs'!M13-'[1]Exercise 6 - Closed Claim Ldfs'!M13))</f>
        <v/>
      </c>
      <c r="N134" s="132" t="str">
        <f>IF(('[1]Exercise 6 - Rept Claim Ldfs'!N13-'[1]Exercise 6 - Closed Claim Ldfs'!N13)=0,"",+('[1]Exercise 6 - Inc-Ldfs'!N13-'[1]Exercise 6 - Paid-Ldfs'!N13)/('[1]Exercise 6 - Rept Claim Ldfs'!N13-'[1]Exercise 6 - Closed Claim Ldfs'!N13))</f>
        <v/>
      </c>
      <c r="O134" s="132" t="str">
        <f>IF(('[1]Exercise 6 - Rept Claim Ldfs'!O13-'[1]Exercise 6 - Closed Claim Ldfs'!O13)=0,"",+('[1]Exercise 6 - Inc-Ldfs'!O13-'[1]Exercise 6 - Paid-Ldfs'!O13)/('[1]Exercise 6 - Rept Claim Ldfs'!O13-'[1]Exercise 6 - Closed Claim Ldfs'!O13))</f>
        <v/>
      </c>
      <c r="P134" s="132" t="str">
        <f>IF(('[1]Exercise 6 - Rept Claim Ldfs'!P13-'[1]Exercise 6 - Closed Claim Ldfs'!P13)=0,"",+('[1]Exercise 6 - Inc-Ldfs'!P13-'[1]Exercise 6 - Paid-Ldfs'!P13)/('[1]Exercise 6 - Rept Claim Ldfs'!P13-'[1]Exercise 6 - Closed Claim Ldfs'!P13))</f>
        <v/>
      </c>
    </row>
    <row r="135" spans="2:16">
      <c r="B135" s="132">
        <f>IF(('[1]Exercise 6 - Rept Claim Ldfs'!B14-'[1]Exercise 6 - Closed Claim Ldfs'!B14)=0,"",+('[1]Exercise 6 - Inc-Ldfs'!B14-'[1]Exercise 6 - Paid-Ldfs'!B14)/('[1]Exercise 6 - Rept Claim Ldfs'!B14-'[1]Exercise 6 - Closed Claim Ldfs'!B14))</f>
        <v>14619.68932038835</v>
      </c>
      <c r="C135" s="132">
        <f>IF(('[1]Exercise 6 - Rept Claim Ldfs'!C14-'[1]Exercise 6 - Closed Claim Ldfs'!C14)=0,"",+('[1]Exercise 6 - Inc-Ldfs'!C14-'[1]Exercise 6 - Paid-Ldfs'!C14)/('[1]Exercise 6 - Rept Claim Ldfs'!C14-'[1]Exercise 6 - Closed Claim Ldfs'!C14))</f>
        <v>38580.166666666664</v>
      </c>
      <c r="D135" s="132">
        <f>IF(('[1]Exercise 6 - Rept Claim Ldfs'!D14-'[1]Exercise 6 - Closed Claim Ldfs'!D14)=0,"",+('[1]Exercise 6 - Inc-Ldfs'!D14-'[1]Exercise 6 - Paid-Ldfs'!D14)/('[1]Exercise 6 - Rept Claim Ldfs'!D14-'[1]Exercise 6 - Closed Claim Ldfs'!D14))</f>
        <v>36283.000000000015</v>
      </c>
      <c r="E135" s="132">
        <f>IF(('[1]Exercise 6 - Rept Claim Ldfs'!E14-'[1]Exercise 6 - Closed Claim Ldfs'!E14)=0,"",+('[1]Exercise 6 - Inc-Ldfs'!E14-'[1]Exercise 6 - Paid-Ldfs'!E14)/('[1]Exercise 6 - Rept Claim Ldfs'!E14-'[1]Exercise 6 - Closed Claim Ldfs'!E14))</f>
        <v>25911.470588235323</v>
      </c>
      <c r="F135" s="132">
        <f>IF(('[1]Exercise 6 - Rept Claim Ldfs'!F14-'[1]Exercise 6 - Closed Claim Ldfs'!F14)=0,"",+('[1]Exercise 6 - Inc-Ldfs'!F14-'[1]Exercise 6 - Paid-Ldfs'!F14)/('[1]Exercise 6 - Rept Claim Ldfs'!F14-'[1]Exercise 6 - Closed Claim Ldfs'!F14))</f>
        <v>27857.846153846189</v>
      </c>
      <c r="G135" s="132">
        <f>IF(('[1]Exercise 6 - Rept Claim Ldfs'!G14-'[1]Exercise 6 - Closed Claim Ldfs'!G14)=0,"",+('[1]Exercise 6 - Inc-Ldfs'!G14-'[1]Exercise 6 - Paid-Ldfs'!G14)/('[1]Exercise 6 - Rept Claim Ldfs'!G14-'[1]Exercise 6 - Closed Claim Ldfs'!G14))</f>
        <v>30320.000000000076</v>
      </c>
      <c r="H135" s="132">
        <f>IF(('[1]Exercise 6 - Rept Claim Ldfs'!H14-'[1]Exercise 6 - Closed Claim Ldfs'!H14)=0,"",+('[1]Exercise 6 - Inc-Ldfs'!H14-'[1]Exercise 6 - Paid-Ldfs'!H14)/('[1]Exercise 6 - Rept Claim Ldfs'!H14-'[1]Exercise 6 - Closed Claim Ldfs'!H14))</f>
        <v>33455.80000000009</v>
      </c>
      <c r="I135" s="132">
        <f>IF(('[1]Exercise 6 - Rept Claim Ldfs'!I14-'[1]Exercise 6 - Closed Claim Ldfs'!I14)=0,"",+('[1]Exercise 6 - Inc-Ldfs'!I14-'[1]Exercise 6 - Paid-Ldfs'!I14)/('[1]Exercise 6 - Rept Claim Ldfs'!I14-'[1]Exercise 6 - Closed Claim Ldfs'!I14))</f>
        <v>60372.000000000153</v>
      </c>
      <c r="J135" s="132">
        <f>IF(('[1]Exercise 6 - Rept Claim Ldfs'!J14-'[1]Exercise 6 - Closed Claim Ldfs'!J14)=0,"",+('[1]Exercise 6 - Inc-Ldfs'!J14-'[1]Exercise 6 - Paid-Ldfs'!J14)/('[1]Exercise 6 - Rept Claim Ldfs'!J14-'[1]Exercise 6 - Closed Claim Ldfs'!J14))</f>
        <v>58817.000000000153</v>
      </c>
      <c r="K135" s="132">
        <f>IF(('[1]Exercise 6 - Rept Claim Ldfs'!K14-'[1]Exercise 6 - Closed Claim Ldfs'!K14)=0,"",+('[1]Exercise 6 - Inc-Ldfs'!K14-'[1]Exercise 6 - Paid-Ldfs'!K14)/('[1]Exercise 6 - Rept Claim Ldfs'!K14-'[1]Exercise 6 - Closed Claim Ldfs'!K14))</f>
        <v>65238.333333333489</v>
      </c>
      <c r="L135" s="132">
        <f>IF(('[1]Exercise 6 - Rept Claim Ldfs'!L14-'[1]Exercise 6 - Closed Claim Ldfs'!L14)=0,"",+('[1]Exercise 6 - Inc-Ldfs'!L14-'[1]Exercise 6 - Paid-Ldfs'!L14)/('[1]Exercise 6 - Rept Claim Ldfs'!L14-'[1]Exercise 6 - Closed Claim Ldfs'!L14))</f>
        <v>80025.666666666817</v>
      </c>
      <c r="M135" s="132">
        <f>IF(('[1]Exercise 6 - Rept Claim Ldfs'!M14-'[1]Exercise 6 - Closed Claim Ldfs'!M14)=0,"",+('[1]Exercise 6 - Inc-Ldfs'!M14-'[1]Exercise 6 - Paid-Ldfs'!M14)/('[1]Exercise 6 - Rept Claim Ldfs'!M14-'[1]Exercise 6 - Closed Claim Ldfs'!M14))</f>
        <v>135944.66666666683</v>
      </c>
      <c r="N135" s="132">
        <f>IF(('[1]Exercise 6 - Rept Claim Ldfs'!N14-'[1]Exercise 6 - Closed Claim Ldfs'!N14)=0,"",+('[1]Exercise 6 - Inc-Ldfs'!N14-'[1]Exercise 6 - Paid-Ldfs'!N14)/('[1]Exercise 6 - Rept Claim Ldfs'!N14-'[1]Exercise 6 - Closed Claim Ldfs'!N14))</f>
        <v>9731.3333333334886</v>
      </c>
      <c r="O135" s="132">
        <f>IF(('[1]Exercise 6 - Rept Claim Ldfs'!O14-'[1]Exercise 6 - Closed Claim Ldfs'!O14)=0,"",+('[1]Exercise 6 - Inc-Ldfs'!O14-'[1]Exercise 6 - Paid-Ldfs'!O14)/('[1]Exercise 6 - Rept Claim Ldfs'!O14-'[1]Exercise 6 - Closed Claim Ldfs'!O14))</f>
        <v>24761.270000000251</v>
      </c>
      <c r="P135" s="132"/>
    </row>
    <row r="136" spans="2:16">
      <c r="B136" s="132">
        <f>IF(('[1]Exercise 6 - Rept Claim Ldfs'!B15-'[1]Exercise 6 - Closed Claim Ldfs'!B15)=0,"",+('[1]Exercise 6 - Inc-Ldfs'!B15-'[1]Exercise 6 - Paid-Ldfs'!B15)/('[1]Exercise 6 - Rept Claim Ldfs'!B15-'[1]Exercise 6 - Closed Claim Ldfs'!B15))</f>
        <v>28258.396226415094</v>
      </c>
      <c r="C136" s="132">
        <f>IF(('[1]Exercise 6 - Rept Claim Ldfs'!C15-'[1]Exercise 6 - Closed Claim Ldfs'!C15)=0,"",+('[1]Exercise 6 - Inc-Ldfs'!C15-'[1]Exercise 6 - Paid-Ldfs'!C15)/('[1]Exercise 6 - Rept Claim Ldfs'!C15-'[1]Exercise 6 - Closed Claim Ldfs'!C15))</f>
        <v>59633.581818181825</v>
      </c>
      <c r="D136" s="132">
        <f>IF(('[1]Exercise 6 - Rept Claim Ldfs'!D15-'[1]Exercise 6 - Closed Claim Ldfs'!D15)=0,"",+('[1]Exercise 6 - Inc-Ldfs'!D15-'[1]Exercise 6 - Paid-Ldfs'!D15)/('[1]Exercise 6 - Rept Claim Ldfs'!D15-'[1]Exercise 6 - Closed Claim Ldfs'!D15))</f>
        <v>42550.439024390253</v>
      </c>
      <c r="E136" s="132">
        <f>IF(('[1]Exercise 6 - Rept Claim Ldfs'!E15-'[1]Exercise 6 - Closed Claim Ldfs'!E15)=0,"",+('[1]Exercise 6 - Inc-Ldfs'!E15-'[1]Exercise 6 - Paid-Ldfs'!E15)/('[1]Exercise 6 - Rept Claim Ldfs'!E15-'[1]Exercise 6 - Closed Claim Ldfs'!E15))</f>
        <v>36475.620689655188</v>
      </c>
      <c r="F136" s="132">
        <f>IF(('[1]Exercise 6 - Rept Claim Ldfs'!F15-'[1]Exercise 6 - Closed Claim Ldfs'!F15)=0,"",+('[1]Exercise 6 - Inc-Ldfs'!F15-'[1]Exercise 6 - Paid-Ldfs'!F15)/('[1]Exercise 6 - Rept Claim Ldfs'!F15-'[1]Exercise 6 - Closed Claim Ldfs'!F15))</f>
        <v>25256.75000000004</v>
      </c>
      <c r="G136" s="132">
        <f>IF(('[1]Exercise 6 - Rept Claim Ldfs'!G15-'[1]Exercise 6 - Closed Claim Ldfs'!G15)=0,"",+('[1]Exercise 6 - Inc-Ldfs'!G15-'[1]Exercise 6 - Paid-Ldfs'!G15)/('[1]Exercise 6 - Rept Claim Ldfs'!G15-'[1]Exercise 6 - Closed Claim Ldfs'!G15))</f>
        <v>23986.800000000094</v>
      </c>
      <c r="H136" s="132">
        <f>IF(('[1]Exercise 6 - Rept Claim Ldfs'!H15-'[1]Exercise 6 - Closed Claim Ldfs'!H15)=0,"",+('[1]Exercise 6 - Inc-Ldfs'!H15-'[1]Exercise 6 - Paid-Ldfs'!H15)/('[1]Exercise 6 - Rept Claim Ldfs'!H15-'[1]Exercise 6 - Closed Claim Ldfs'!H15))</f>
        <v>25218.666666666821</v>
      </c>
      <c r="I136" s="132">
        <f>IF(('[1]Exercise 6 - Rept Claim Ldfs'!I15-'[1]Exercise 6 - Closed Claim Ldfs'!I15)=0,"",+('[1]Exercise 6 - Inc-Ldfs'!I15-'[1]Exercise 6 - Paid-Ldfs'!I15)/('[1]Exercise 6 - Rept Claim Ldfs'!I15-'[1]Exercise 6 - Closed Claim Ldfs'!I15))</f>
        <v>42148.000000000466</v>
      </c>
      <c r="J136" s="132">
        <f>IF(('[1]Exercise 6 - Rept Claim Ldfs'!J15-'[1]Exercise 6 - Closed Claim Ldfs'!J15)=0,"",+('[1]Exercise 6 - Inc-Ldfs'!J15-'[1]Exercise 6 - Paid-Ldfs'!J15)/('[1]Exercise 6 - Rept Claim Ldfs'!J15-'[1]Exercise 6 - Closed Claim Ldfs'!J15))</f>
        <v>42148.000000000466</v>
      </c>
      <c r="K136" s="132">
        <f>IF(('[1]Exercise 6 - Rept Claim Ldfs'!K15-'[1]Exercise 6 - Closed Claim Ldfs'!K15)=0,"",+('[1]Exercise 6 - Inc-Ldfs'!K15-'[1]Exercise 6 - Paid-Ldfs'!K15)/('[1]Exercise 6 - Rept Claim Ldfs'!K15-'[1]Exercise 6 - Closed Claim Ldfs'!K15))</f>
        <v>120995.50000000023</v>
      </c>
      <c r="L136" s="132">
        <f>IF(('[1]Exercise 6 - Rept Claim Ldfs'!L15-'[1]Exercise 6 - Closed Claim Ldfs'!L15)=0,"",+('[1]Exercise 6 - Inc-Ldfs'!L15-'[1]Exercise 6 - Paid-Ldfs'!L15)/('[1]Exercise 6 - Rept Claim Ldfs'!L15-'[1]Exercise 6 - Closed Claim Ldfs'!L15))</f>
        <v>331114.5</v>
      </c>
      <c r="M136" s="132">
        <f>IF(('[1]Exercise 6 - Rept Claim Ldfs'!M15-'[1]Exercise 6 - Closed Claim Ldfs'!M15)=0,"",+('[1]Exercise 6 - Inc-Ldfs'!M15-'[1]Exercise 6 - Paid-Ldfs'!M15)/('[1]Exercise 6 - Rept Claim Ldfs'!M15-'[1]Exercise 6 - Closed Claim Ldfs'!M15))</f>
        <v>17256</v>
      </c>
      <c r="N136" s="132">
        <f>IF(('[1]Exercise 6 - Rept Claim Ldfs'!N15-'[1]Exercise 6 - Closed Claim Ldfs'!N15)=0,"",+('[1]Exercise 6 - Inc-Ldfs'!N15-'[1]Exercise 6 - Paid-Ldfs'!N15)/('[1]Exercise 6 - Rept Claim Ldfs'!N15-'[1]Exercise 6 - Closed Claim Ldfs'!N15))</f>
        <v>35227</v>
      </c>
      <c r="O136" s="132"/>
      <c r="P136" s="132"/>
    </row>
    <row r="137" spans="2:16">
      <c r="B137" s="132">
        <f>IF(('[1]Exercise 6 - Rept Claim Ldfs'!B16-'[1]Exercise 6 - Closed Claim Ldfs'!B16)=0,"",+('[1]Exercise 6 - Inc-Ldfs'!B16-'[1]Exercise 6 - Paid-Ldfs'!B16)/('[1]Exercise 6 - Rept Claim Ldfs'!B16-'[1]Exercise 6 - Closed Claim Ldfs'!B16))</f>
        <v>9556.4</v>
      </c>
      <c r="C137" s="132">
        <f>IF(('[1]Exercise 6 - Rept Claim Ldfs'!C16-'[1]Exercise 6 - Closed Claim Ldfs'!C16)=0,"",+('[1]Exercise 6 - Inc-Ldfs'!C16-'[1]Exercise 6 - Paid-Ldfs'!C16)/('[1]Exercise 6 - Rept Claim Ldfs'!C16-'[1]Exercise 6 - Closed Claim Ldfs'!C16))</f>
        <v>21127.790322580644</v>
      </c>
      <c r="D137" s="132">
        <f>IF(('[1]Exercise 6 - Rept Claim Ldfs'!D16-'[1]Exercise 6 - Closed Claim Ldfs'!D16)=0,"",+('[1]Exercise 6 - Inc-Ldfs'!D16-'[1]Exercise 6 - Paid-Ldfs'!D16)/('[1]Exercise 6 - Rept Claim Ldfs'!D16-'[1]Exercise 6 - Closed Claim Ldfs'!D16))</f>
        <v>38051.809523809519</v>
      </c>
      <c r="E137" s="132">
        <f>IF(('[1]Exercise 6 - Rept Claim Ldfs'!E16-'[1]Exercise 6 - Closed Claim Ldfs'!E16)=0,"",+('[1]Exercise 6 - Inc-Ldfs'!E16-'[1]Exercise 6 - Paid-Ldfs'!E16)/('[1]Exercise 6 - Rept Claim Ldfs'!E16-'[1]Exercise 6 - Closed Claim Ldfs'!E16))</f>
        <v>50879.307692307673</v>
      </c>
      <c r="F137" s="132">
        <f>IF(('[1]Exercise 6 - Rept Claim Ldfs'!F16-'[1]Exercise 6 - Closed Claim Ldfs'!F16)=0,"",+('[1]Exercise 6 - Inc-Ldfs'!F16-'[1]Exercise 6 - Paid-Ldfs'!F16)/('[1]Exercise 6 - Rept Claim Ldfs'!F16-'[1]Exercise 6 - Closed Claim Ldfs'!F16))</f>
        <v>68346.066666666637</v>
      </c>
      <c r="G137" s="132">
        <f>IF(('[1]Exercise 6 - Rept Claim Ldfs'!G16-'[1]Exercise 6 - Closed Claim Ldfs'!G16)=0,"",+('[1]Exercise 6 - Inc-Ldfs'!G16-'[1]Exercise 6 - Paid-Ldfs'!G16)/('[1]Exercise 6 - Rept Claim Ldfs'!G16-'[1]Exercise 6 - Closed Claim Ldfs'!G16))</f>
        <v>75387.888888888789</v>
      </c>
      <c r="H137" s="132">
        <f>IF(('[1]Exercise 6 - Rept Claim Ldfs'!H16-'[1]Exercise 6 - Closed Claim Ldfs'!H16)=0,"",+('[1]Exercise 6 - Inc-Ldfs'!H16-'[1]Exercise 6 - Paid-Ldfs'!H16)/('[1]Exercise 6 - Rept Claim Ldfs'!H16-'[1]Exercise 6 - Closed Claim Ldfs'!H16))</f>
        <v>59046.166666666511</v>
      </c>
      <c r="I137" s="132">
        <f>IF(('[1]Exercise 6 - Rept Claim Ldfs'!I16-'[1]Exercise 6 - Closed Claim Ldfs'!I16)=0,"",+('[1]Exercise 6 - Inc-Ldfs'!I16-'[1]Exercise 6 - Paid-Ldfs'!I16)/('[1]Exercise 6 - Rept Claim Ldfs'!I16-'[1]Exercise 6 - Closed Claim Ldfs'!I16))</f>
        <v>51791.999999999767</v>
      </c>
      <c r="J137" s="132">
        <f>IF(('[1]Exercise 6 - Rept Claim Ldfs'!J16-'[1]Exercise 6 - Closed Claim Ldfs'!J16)=0,"",+('[1]Exercise 6 - Inc-Ldfs'!J16-'[1]Exercise 6 - Paid-Ldfs'!J16)/('[1]Exercise 6 - Rept Claim Ldfs'!J16-'[1]Exercise 6 - Closed Claim Ldfs'!J16))</f>
        <v>46848.799999999814</v>
      </c>
      <c r="K137" s="132">
        <f>IF(('[1]Exercise 6 - Rept Claim Ldfs'!K16-'[1]Exercise 6 - Closed Claim Ldfs'!K16)=0,"",+('[1]Exercise 6 - Inc-Ldfs'!K16-'[1]Exercise 6 - Paid-Ldfs'!K16)/('[1]Exercise 6 - Rept Claim Ldfs'!K16-'[1]Exercise 6 - Closed Claim Ldfs'!K16))</f>
        <v>239477.74999999977</v>
      </c>
      <c r="L137" s="132">
        <f>IF(('[1]Exercise 6 - Rept Claim Ldfs'!L16-'[1]Exercise 6 - Closed Claim Ldfs'!L16)=0,"",+('[1]Exercise 6 - Inc-Ldfs'!L16-'[1]Exercise 6 - Paid-Ldfs'!L16)/('[1]Exercise 6 - Rept Claim Ldfs'!L16-'[1]Exercise 6 - Closed Claim Ldfs'!L16))</f>
        <v>22274.999999999069</v>
      </c>
      <c r="M137" s="132">
        <f>IF(('[1]Exercise 6 - Rept Claim Ldfs'!M16-'[1]Exercise 6 - Closed Claim Ldfs'!M16)=0,"",+('[1]Exercise 6 - Inc-Ldfs'!M16-'[1]Exercise 6 - Paid-Ldfs'!M16)/('[1]Exercise 6 - Rept Claim Ldfs'!M16-'[1]Exercise 6 - Closed Claim Ldfs'!M16))</f>
        <v>73106.779999999329</v>
      </c>
      <c r="N137" s="132"/>
      <c r="O137" s="132"/>
      <c r="P137" s="132"/>
    </row>
    <row r="138" spans="2:16">
      <c r="B138" s="132">
        <f>IF(('[1]Exercise 6 - Rept Claim Ldfs'!B17-'[1]Exercise 6 - Closed Claim Ldfs'!B17)=0,"",+('[1]Exercise 6 - Inc-Ldfs'!B17-'[1]Exercise 6 - Paid-Ldfs'!B17)/('[1]Exercise 6 - Rept Claim Ldfs'!B17-'[1]Exercise 6 - Closed Claim Ldfs'!B17))</f>
        <v>15677.524752475245</v>
      </c>
      <c r="C138" s="132">
        <f>IF(('[1]Exercise 6 - Rept Claim Ldfs'!C17-'[1]Exercise 6 - Closed Claim Ldfs'!C17)=0,"",+('[1]Exercise 6 - Inc-Ldfs'!C17-'[1]Exercise 6 - Paid-Ldfs'!C17)/('[1]Exercise 6 - Rept Claim Ldfs'!C17-'[1]Exercise 6 - Closed Claim Ldfs'!C17))</f>
        <v>48075.195652173912</v>
      </c>
      <c r="D138" s="132">
        <f>IF(('[1]Exercise 6 - Rept Claim Ldfs'!D17-'[1]Exercise 6 - Closed Claim Ldfs'!D17)=0,"",+('[1]Exercise 6 - Inc-Ldfs'!D17-'[1]Exercise 6 - Paid-Ldfs'!D17)/('[1]Exercise 6 - Rept Claim Ldfs'!D17-'[1]Exercise 6 - Closed Claim Ldfs'!D17))</f>
        <v>51086.090909090912</v>
      </c>
      <c r="E138" s="132">
        <f>IF(('[1]Exercise 6 - Rept Claim Ldfs'!E17-'[1]Exercise 6 - Closed Claim Ldfs'!E17)=0,"",+('[1]Exercise 6 - Inc-Ldfs'!E17-'[1]Exercise 6 - Paid-Ldfs'!E17)/('[1]Exercise 6 - Rept Claim Ldfs'!E17-'[1]Exercise 6 - Closed Claim Ldfs'!E17))</f>
        <v>76565.821428571449</v>
      </c>
      <c r="F138" s="132">
        <f>IF(('[1]Exercise 6 - Rept Claim Ldfs'!F17-'[1]Exercise 6 - Closed Claim Ldfs'!F17)=0,"",+('[1]Exercise 6 - Inc-Ldfs'!F17-'[1]Exercise 6 - Paid-Ldfs'!F17)/('[1]Exercise 6 - Rept Claim Ldfs'!F17-'[1]Exercise 6 - Closed Claim Ldfs'!F17))</f>
        <v>63298.050000000025</v>
      </c>
      <c r="G138" s="132">
        <f>IF(('[1]Exercise 6 - Rept Claim Ldfs'!G17-'[1]Exercise 6 - Closed Claim Ldfs'!G17)=0,"",+('[1]Exercise 6 - Inc-Ldfs'!G17-'[1]Exercise 6 - Paid-Ldfs'!G17)/('[1]Exercise 6 - Rept Claim Ldfs'!G17-'[1]Exercise 6 - Closed Claim Ldfs'!G17))</f>
        <v>98337.846153846156</v>
      </c>
      <c r="H138" s="132">
        <f>IF(('[1]Exercise 6 - Rept Claim Ldfs'!H17-'[1]Exercise 6 - Closed Claim Ldfs'!H17)=0,"",+('[1]Exercise 6 - Inc-Ldfs'!H17-'[1]Exercise 6 - Paid-Ldfs'!H17)/('[1]Exercise 6 - Rept Claim Ldfs'!H17-'[1]Exercise 6 - Closed Claim Ldfs'!H17))</f>
        <v>122795.55555555556</v>
      </c>
      <c r="I138" s="132">
        <f>IF(('[1]Exercise 6 - Rept Claim Ldfs'!I17-'[1]Exercise 6 - Closed Claim Ldfs'!I17)=0,"",+('[1]Exercise 6 - Inc-Ldfs'!I17-'[1]Exercise 6 - Paid-Ldfs'!I17)/('[1]Exercise 6 - Rept Claim Ldfs'!I17-'[1]Exercise 6 - Closed Claim Ldfs'!I17))</f>
        <v>141566.20000000001</v>
      </c>
      <c r="J138" s="132">
        <f>IF(('[1]Exercise 6 - Rept Claim Ldfs'!J17-'[1]Exercise 6 - Closed Claim Ldfs'!J17)=0,"",+('[1]Exercise 6 - Inc-Ldfs'!J17-'[1]Exercise 6 - Paid-Ldfs'!J17)/('[1]Exercise 6 - Rept Claim Ldfs'!J17-'[1]Exercise 6 - Closed Claim Ldfs'!J17))</f>
        <v>89886</v>
      </c>
      <c r="K138" s="132">
        <f>IF(('[1]Exercise 6 - Rept Claim Ldfs'!K17-'[1]Exercise 6 - Closed Claim Ldfs'!K17)=0,"",+('[1]Exercise 6 - Inc-Ldfs'!K17-'[1]Exercise 6 - Paid-Ldfs'!K17)/('[1]Exercise 6 - Rept Claim Ldfs'!K17-'[1]Exercise 6 - Closed Claim Ldfs'!K17))</f>
        <v>62864.666666666664</v>
      </c>
      <c r="L138" s="132">
        <f>IF(('[1]Exercise 6 - Rept Claim Ldfs'!L17-'[1]Exercise 6 - Closed Claim Ldfs'!L17)=0,"",+('[1]Exercise 6 - Inc-Ldfs'!L17-'[1]Exercise 6 - Paid-Ldfs'!L17)/('[1]Exercise 6 - Rept Claim Ldfs'!L17-'[1]Exercise 6 - Closed Claim Ldfs'!L17))</f>
        <v>45430.188749999972</v>
      </c>
      <c r="M138" s="132"/>
      <c r="N138" s="132"/>
      <c r="O138" s="132"/>
      <c r="P138" s="132"/>
    </row>
    <row r="139" spans="2:16">
      <c r="B139" s="132">
        <f>IF(('[1]Exercise 6 - Rept Claim Ldfs'!B18-'[1]Exercise 6 - Closed Claim Ldfs'!B18)=0,"",+('[1]Exercise 6 - Inc-Ldfs'!B18-'[1]Exercise 6 - Paid-Ldfs'!B18)/('[1]Exercise 6 - Rept Claim Ldfs'!B18-'[1]Exercise 6 - Closed Claim Ldfs'!B18))</f>
        <v>8062.2179487179483</v>
      </c>
      <c r="C139" s="132">
        <f>IF(('[1]Exercise 6 - Rept Claim Ldfs'!C18-'[1]Exercise 6 - Closed Claim Ldfs'!C18)=0,"",+('[1]Exercise 6 - Inc-Ldfs'!C18-'[1]Exercise 6 - Paid-Ldfs'!C18)/('[1]Exercise 6 - Rept Claim Ldfs'!C18-'[1]Exercise 6 - Closed Claim Ldfs'!C18))</f>
        <v>28541.647058823528</v>
      </c>
      <c r="D139" s="132">
        <f>IF(('[1]Exercise 6 - Rept Claim Ldfs'!D18-'[1]Exercise 6 - Closed Claim Ldfs'!D18)=0,"",+('[1]Exercise 6 - Inc-Ldfs'!D18-'[1]Exercise 6 - Paid-Ldfs'!D18)/('[1]Exercise 6 - Rept Claim Ldfs'!D18-'[1]Exercise 6 - Closed Claim Ldfs'!D18))</f>
        <v>38828.500000000007</v>
      </c>
      <c r="E139" s="132">
        <f>IF(('[1]Exercise 6 - Rept Claim Ldfs'!E18-'[1]Exercise 6 - Closed Claim Ldfs'!E18)=0,"",+('[1]Exercise 6 - Inc-Ldfs'!E18-'[1]Exercise 6 - Paid-Ldfs'!E18)/('[1]Exercise 6 - Rept Claim Ldfs'!E18-'[1]Exercise 6 - Closed Claim Ldfs'!E18))</f>
        <v>37301.947368421068</v>
      </c>
      <c r="F139" s="132">
        <f>IF(('[1]Exercise 6 - Rept Claim Ldfs'!F18-'[1]Exercise 6 - Closed Claim Ldfs'!F18)=0,"",+('[1]Exercise 6 - Inc-Ldfs'!F18-'[1]Exercise 6 - Paid-Ldfs'!F18)/('[1]Exercise 6 - Rept Claim Ldfs'!F18-'[1]Exercise 6 - Closed Claim Ldfs'!F18))</f>
        <v>29477.444444444445</v>
      </c>
      <c r="G139" s="132">
        <f>IF(('[1]Exercise 6 - Rept Claim Ldfs'!G18-'[1]Exercise 6 - Closed Claim Ldfs'!G18)=0,"",+('[1]Exercise 6 - Inc-Ldfs'!G18-'[1]Exercise 6 - Paid-Ldfs'!G18)/('[1]Exercise 6 - Rept Claim Ldfs'!G18-'[1]Exercise 6 - Closed Claim Ldfs'!G18))</f>
        <v>22296.333333333332</v>
      </c>
      <c r="H139" s="132">
        <f>IF(('[1]Exercise 6 - Rept Claim Ldfs'!H18-'[1]Exercise 6 - Closed Claim Ldfs'!H18)=0,"",+('[1]Exercise 6 - Inc-Ldfs'!H18-'[1]Exercise 6 - Paid-Ldfs'!H18)/('[1]Exercise 6 - Rept Claim Ldfs'!H18-'[1]Exercise 6 - Closed Claim Ldfs'!H18))</f>
        <v>123159.33333333333</v>
      </c>
      <c r="I139" s="132">
        <f>IF(('[1]Exercise 6 - Rept Claim Ldfs'!I18-'[1]Exercise 6 - Closed Claim Ldfs'!I18)=0,"",+('[1]Exercise 6 - Inc-Ldfs'!I18-'[1]Exercise 6 - Paid-Ldfs'!I18)/('[1]Exercise 6 - Rept Claim Ldfs'!I18-'[1]Exercise 6 - Closed Claim Ldfs'!I18))</f>
        <v>189598.66666666666</v>
      </c>
      <c r="J139" s="132">
        <f>IF(('[1]Exercise 6 - Rept Claim Ldfs'!J18-'[1]Exercise 6 - Closed Claim Ldfs'!J18)=0,"",+('[1]Exercise 6 - Inc-Ldfs'!J18-'[1]Exercise 6 - Paid-Ldfs'!J18)/('[1]Exercise 6 - Rept Claim Ldfs'!J18-'[1]Exercise 6 - Closed Claim Ldfs'!J18))</f>
        <v>63698</v>
      </c>
      <c r="K139" s="132">
        <f>IF(('[1]Exercise 6 - Rept Claim Ldfs'!K18-'[1]Exercise 6 - Closed Claim Ldfs'!K18)=0,"",+('[1]Exercise 6 - Inc-Ldfs'!K18-'[1]Exercise 6 - Paid-Ldfs'!K18)/('[1]Exercise 6 - Rept Claim Ldfs'!K18-'[1]Exercise 6 - Closed Claim Ldfs'!K18))</f>
        <v>70004.490000000224</v>
      </c>
      <c r="L139" s="132"/>
      <c r="M139" s="132"/>
      <c r="N139" s="132"/>
      <c r="O139" s="132"/>
      <c r="P139" s="132"/>
    </row>
    <row r="140" spans="2:16">
      <c r="B140" s="132">
        <f>IF(('[1]Exercise 6 - Rept Claim Ldfs'!B19-'[1]Exercise 6 - Closed Claim Ldfs'!B19)=0,"",+('[1]Exercise 6 - Inc-Ldfs'!B19-'[1]Exercise 6 - Paid-Ldfs'!B19)/('[1]Exercise 6 - Rept Claim Ldfs'!B19-'[1]Exercise 6 - Closed Claim Ldfs'!B19))</f>
        <v>10914.541666666666</v>
      </c>
      <c r="C140" s="132">
        <f>IF(('[1]Exercise 6 - Rept Claim Ldfs'!C19-'[1]Exercise 6 - Closed Claim Ldfs'!C19)=0,"",+('[1]Exercise 6 - Inc-Ldfs'!C19-'[1]Exercise 6 - Paid-Ldfs'!C19)/('[1]Exercise 6 - Rept Claim Ldfs'!C19-'[1]Exercise 6 - Closed Claim Ldfs'!C19))</f>
        <v>34705.166666666664</v>
      </c>
      <c r="D140" s="132">
        <f>IF(('[1]Exercise 6 - Rept Claim Ldfs'!D19-'[1]Exercise 6 - Closed Claim Ldfs'!D19)=0,"",+('[1]Exercise 6 - Inc-Ldfs'!D19-'[1]Exercise 6 - Paid-Ldfs'!D19)/('[1]Exercise 6 - Rept Claim Ldfs'!D19-'[1]Exercise 6 - Closed Claim Ldfs'!D19))</f>
        <v>34088.968749999993</v>
      </c>
      <c r="E140" s="132">
        <f>IF(('[1]Exercise 6 - Rept Claim Ldfs'!E19-'[1]Exercise 6 - Closed Claim Ldfs'!E19)=0,"",+('[1]Exercise 6 - Inc-Ldfs'!E19-'[1]Exercise 6 - Paid-Ldfs'!E19)/('[1]Exercise 6 - Rept Claim Ldfs'!E19-'[1]Exercise 6 - Closed Claim Ldfs'!E19))</f>
        <v>20725.333333333321</v>
      </c>
      <c r="F140" s="132">
        <f>IF(('[1]Exercise 6 - Rept Claim Ldfs'!F19-'[1]Exercise 6 - Closed Claim Ldfs'!F19)=0,"",+('[1]Exercise 6 - Inc-Ldfs'!F19-'[1]Exercise 6 - Paid-Ldfs'!F19)/('[1]Exercise 6 - Rept Claim Ldfs'!F19-'[1]Exercise 6 - Closed Claim Ldfs'!F19))</f>
        <v>25512.69230769229</v>
      </c>
      <c r="G140" s="132">
        <f>IF(('[1]Exercise 6 - Rept Claim Ldfs'!G19-'[1]Exercise 6 - Closed Claim Ldfs'!G19)=0,"",+('[1]Exercise 6 - Inc-Ldfs'!G19-'[1]Exercise 6 - Paid-Ldfs'!G19)/('[1]Exercise 6 - Rept Claim Ldfs'!G19-'[1]Exercise 6 - Closed Claim Ldfs'!G19))</f>
        <v>98825.71428571429</v>
      </c>
      <c r="H140" s="132">
        <f>IF(('[1]Exercise 6 - Rept Claim Ldfs'!H19-'[1]Exercise 6 - Closed Claim Ldfs'!H19)=0,"",+('[1]Exercise 6 - Inc-Ldfs'!H19-'[1]Exercise 6 - Paid-Ldfs'!H19)/('[1]Exercise 6 - Rept Claim Ldfs'!H19-'[1]Exercise 6 - Closed Claim Ldfs'!H19))</f>
        <v>137762</v>
      </c>
      <c r="I140" s="132" t="str">
        <f>IF(('[1]Exercise 6 - Rept Claim Ldfs'!I19-'[1]Exercise 6 - Closed Claim Ldfs'!I19)=0,"",+('[1]Exercise 6 - Inc-Ldfs'!I19-'[1]Exercise 6 - Paid-Ldfs'!I19)/('[1]Exercise 6 - Rept Claim Ldfs'!I19-'[1]Exercise 6 - Closed Claim Ldfs'!I19))</f>
        <v/>
      </c>
      <c r="J140" s="132" t="str">
        <f>IF(('[1]Exercise 6 - Rept Claim Ldfs'!J19-'[1]Exercise 6 - Closed Claim Ldfs'!J19)=0,"",+('[1]Exercise 6 - Inc-Ldfs'!J19-'[1]Exercise 6 - Paid-Ldfs'!J19)/('[1]Exercise 6 - Rept Claim Ldfs'!J19-'[1]Exercise 6 - Closed Claim Ldfs'!J19))</f>
        <v/>
      </c>
      <c r="K140" s="132"/>
      <c r="L140" s="132"/>
      <c r="M140" s="132"/>
      <c r="N140" s="132"/>
      <c r="O140" s="132"/>
      <c r="P140" s="132"/>
    </row>
    <row r="141" spans="2:16">
      <c r="B141" s="132">
        <f>IF(('[1]Exercise 6 - Rept Claim Ldfs'!B20-'[1]Exercise 6 - Closed Claim Ldfs'!B20)=0,"",+('[1]Exercise 6 - Inc-Ldfs'!B20-'[1]Exercise 6 - Paid-Ldfs'!B20)/('[1]Exercise 6 - Rept Claim Ldfs'!B20-'[1]Exercise 6 - Closed Claim Ldfs'!B20))</f>
        <v>9920.8131868131877</v>
      </c>
      <c r="C141" s="132">
        <f>IF(('[1]Exercise 6 - Rept Claim Ldfs'!C20-'[1]Exercise 6 - Closed Claim Ldfs'!C20)=0,"",+('[1]Exercise 6 - Inc-Ldfs'!C20-'[1]Exercise 6 - Paid-Ldfs'!C20)/('[1]Exercise 6 - Rept Claim Ldfs'!C20-'[1]Exercise 6 - Closed Claim Ldfs'!C20))</f>
        <v>29616.090909090908</v>
      </c>
      <c r="D141" s="132">
        <f>IF(('[1]Exercise 6 - Rept Claim Ldfs'!D20-'[1]Exercise 6 - Closed Claim Ldfs'!D20)=0,"",+('[1]Exercise 6 - Inc-Ldfs'!D20-'[1]Exercise 6 - Paid-Ldfs'!D20)/('[1]Exercise 6 - Rept Claim Ldfs'!D20-'[1]Exercise 6 - Closed Claim Ldfs'!D20))</f>
        <v>36898.470588235294</v>
      </c>
      <c r="E141" s="132">
        <f>IF(('[1]Exercise 6 - Rept Claim Ldfs'!E20-'[1]Exercise 6 - Closed Claim Ldfs'!E20)=0,"",+('[1]Exercise 6 - Inc-Ldfs'!E20-'[1]Exercise 6 - Paid-Ldfs'!E20)/('[1]Exercise 6 - Rept Claim Ldfs'!E20-'[1]Exercise 6 - Closed Claim Ldfs'!E20))</f>
        <v>62316.625</v>
      </c>
      <c r="F141" s="132">
        <f>IF(('[1]Exercise 6 - Rept Claim Ldfs'!F20-'[1]Exercise 6 - Closed Claim Ldfs'!F20)=0,"",+('[1]Exercise 6 - Inc-Ldfs'!F20-'[1]Exercise 6 - Paid-Ldfs'!F20)/('[1]Exercise 6 - Rept Claim Ldfs'!F20-'[1]Exercise 6 - Closed Claim Ldfs'!F20))</f>
        <v>47623.75</v>
      </c>
      <c r="G141" s="132">
        <f>IF(('[1]Exercise 6 - Rept Claim Ldfs'!G20-'[1]Exercise 6 - Closed Claim Ldfs'!G20)=0,"",+('[1]Exercise 6 - Inc-Ldfs'!G20-'[1]Exercise 6 - Paid-Ldfs'!G20)/('[1]Exercise 6 - Rept Claim Ldfs'!G20-'[1]Exercise 6 - Closed Claim Ldfs'!G20))</f>
        <v>32394.875</v>
      </c>
      <c r="H141" s="132">
        <f>IF(('[1]Exercise 6 - Rept Claim Ldfs'!H20-'[1]Exercise 6 - Closed Claim Ldfs'!H20)=0,"",+('[1]Exercise 6 - Inc-Ldfs'!H20-'[1]Exercise 6 - Paid-Ldfs'!H20)/('[1]Exercise 6 - Rept Claim Ldfs'!H20-'[1]Exercise 6 - Closed Claim Ldfs'!H20))</f>
        <v>49892</v>
      </c>
      <c r="I141" s="132">
        <f>IF(('[1]Exercise 6 - Rept Claim Ldfs'!I20-'[1]Exercise 6 - Closed Claim Ldfs'!I20)=0,"",+('[1]Exercise 6 - Inc-Ldfs'!I20-'[1]Exercise 6 - Paid-Ldfs'!I20)/('[1]Exercise 6 - Rept Claim Ldfs'!I20-'[1]Exercise 6 - Closed Claim Ldfs'!I20))</f>
        <v>52688.257499999949</v>
      </c>
      <c r="J141" s="132"/>
      <c r="K141" s="132"/>
      <c r="L141" s="132"/>
      <c r="M141" s="132"/>
      <c r="N141" s="132"/>
      <c r="O141" s="132"/>
      <c r="P141" s="132"/>
    </row>
    <row r="142" spans="2:16">
      <c r="B142" s="132">
        <f>IF(('[1]Exercise 6 - Rept Claim Ldfs'!B21-'[1]Exercise 6 - Closed Claim Ldfs'!B21)=0,"",+('[1]Exercise 6 - Inc-Ldfs'!B21-'[1]Exercise 6 - Paid-Ldfs'!B21)/('[1]Exercise 6 - Rept Claim Ldfs'!B21-'[1]Exercise 6 - Closed Claim Ldfs'!B21))</f>
        <v>10658.216981132075</v>
      </c>
      <c r="C142" s="132">
        <f>IF(('[1]Exercise 6 - Rept Claim Ldfs'!C21-'[1]Exercise 6 - Closed Claim Ldfs'!C21)=0,"",+('[1]Exercise 6 - Inc-Ldfs'!C21-'[1]Exercise 6 - Paid-Ldfs'!C21)/('[1]Exercise 6 - Rept Claim Ldfs'!C21-'[1]Exercise 6 - Closed Claim Ldfs'!C21))</f>
        <v>23047.68181818182</v>
      </c>
      <c r="D142" s="132">
        <f>IF(('[1]Exercise 6 - Rept Claim Ldfs'!D21-'[1]Exercise 6 - Closed Claim Ldfs'!D21)=0,"",+('[1]Exercise 6 - Inc-Ldfs'!D21-'[1]Exercise 6 - Paid-Ldfs'!D21)/('[1]Exercise 6 - Rept Claim Ldfs'!D21-'[1]Exercise 6 - Closed Claim Ldfs'!D21))</f>
        <v>51411.40625</v>
      </c>
      <c r="E142" s="132">
        <f>IF(('[1]Exercise 6 - Rept Claim Ldfs'!E21-'[1]Exercise 6 - Closed Claim Ldfs'!E21)=0,"",+('[1]Exercise 6 - Inc-Ldfs'!E21-'[1]Exercise 6 - Paid-Ldfs'!E21)/('[1]Exercise 6 - Rept Claim Ldfs'!E21-'[1]Exercise 6 - Closed Claim Ldfs'!E21))</f>
        <v>38327.947368421053</v>
      </c>
      <c r="F142" s="132">
        <f>IF(('[1]Exercise 6 - Rept Claim Ldfs'!F21-'[1]Exercise 6 - Closed Claim Ldfs'!F21)=0,"",+('[1]Exercise 6 - Inc-Ldfs'!F21-'[1]Exercise 6 - Paid-Ldfs'!F21)/('[1]Exercise 6 - Rept Claim Ldfs'!F21-'[1]Exercise 6 - Closed Claim Ldfs'!F21))</f>
        <v>48218.63636363636</v>
      </c>
      <c r="G142" s="132">
        <f>IF(('[1]Exercise 6 - Rept Claim Ldfs'!G21-'[1]Exercise 6 - Closed Claim Ldfs'!G21)=0,"",+('[1]Exercise 6 - Inc-Ldfs'!G21-'[1]Exercise 6 - Paid-Ldfs'!G21)/('[1]Exercise 6 - Rept Claim Ldfs'!G21-'[1]Exercise 6 - Closed Claim Ldfs'!G21))</f>
        <v>59168.75</v>
      </c>
      <c r="H142" s="132">
        <f>IF(('[1]Exercise 6 - Rept Claim Ldfs'!H21-'[1]Exercise 6 - Closed Claim Ldfs'!H21)=0,"",+('[1]Exercise 6 - Inc-Ldfs'!H21-'[1]Exercise 6 - Paid-Ldfs'!H21)/('[1]Exercise 6 - Rept Claim Ldfs'!H21-'[1]Exercise 6 - Closed Claim Ldfs'!H21))</f>
        <v>67960.505714285726</v>
      </c>
      <c r="I142" s="132"/>
      <c r="J142" s="132"/>
      <c r="K142" s="132"/>
      <c r="L142" s="132"/>
      <c r="M142" s="132"/>
      <c r="N142" s="132"/>
      <c r="O142" s="132"/>
      <c r="P142" s="132"/>
    </row>
    <row r="143" spans="2:16">
      <c r="B143" s="132">
        <f>IF(('[1]Exercise 6 - Rept Claim Ldfs'!B22-'[1]Exercise 6 - Closed Claim Ldfs'!B22)=0,"",+('[1]Exercise 6 - Inc-Ldfs'!B22-'[1]Exercise 6 - Paid-Ldfs'!B22)/('[1]Exercise 6 - Rept Claim Ldfs'!B22-'[1]Exercise 6 - Closed Claim Ldfs'!B22))</f>
        <v>12419.661157024793</v>
      </c>
      <c r="C143" s="132">
        <f>IF(('[1]Exercise 6 - Rept Claim Ldfs'!C22-'[1]Exercise 6 - Closed Claim Ldfs'!C22)=0,"",+('[1]Exercise 6 - Inc-Ldfs'!C22-'[1]Exercise 6 - Paid-Ldfs'!C22)/('[1]Exercise 6 - Rept Claim Ldfs'!C22-'[1]Exercise 6 - Closed Claim Ldfs'!C22))</f>
        <v>31656.195652173912</v>
      </c>
      <c r="D143" s="132">
        <f>IF(('[1]Exercise 6 - Rept Claim Ldfs'!D22-'[1]Exercise 6 - Closed Claim Ldfs'!D22)=0,"",+('[1]Exercise 6 - Inc-Ldfs'!D22-'[1]Exercise 6 - Paid-Ldfs'!D22)/('[1]Exercise 6 - Rept Claim Ldfs'!D22-'[1]Exercise 6 - Closed Claim Ldfs'!D22))</f>
        <v>69162.305555555562</v>
      </c>
      <c r="E143" s="132">
        <f>IF(('[1]Exercise 6 - Rept Claim Ldfs'!E22-'[1]Exercise 6 - Closed Claim Ldfs'!E22)=0,"",+('[1]Exercise 6 - Inc-Ldfs'!E22-'[1]Exercise 6 - Paid-Ldfs'!E22)/('[1]Exercise 6 - Rept Claim Ldfs'!E22-'[1]Exercise 6 - Closed Claim Ldfs'!E22))</f>
        <v>133607.76923076922</v>
      </c>
      <c r="F143" s="132">
        <f>IF(('[1]Exercise 6 - Rept Claim Ldfs'!F22-'[1]Exercise 6 - Closed Claim Ldfs'!F22)=0,"",+('[1]Exercise 6 - Inc-Ldfs'!F22-'[1]Exercise 6 - Paid-Ldfs'!F22)/('[1]Exercise 6 - Rept Claim Ldfs'!F22-'[1]Exercise 6 - Closed Claim Ldfs'!F22))</f>
        <v>115543.36363636363</v>
      </c>
      <c r="G143" s="132">
        <f>IF(('[1]Exercise 6 - Rept Claim Ldfs'!G22-'[1]Exercise 6 - Closed Claim Ldfs'!G22)=0,"",+('[1]Exercise 6 - Inc-Ldfs'!G22-'[1]Exercise 6 - Paid-Ldfs'!G22)/('[1]Exercise 6 - Rept Claim Ldfs'!G22-'[1]Exercise 6 - Closed Claim Ldfs'!G22))</f>
        <v>66943.75</v>
      </c>
      <c r="H143" s="132"/>
      <c r="I143" s="132"/>
      <c r="J143" s="132"/>
      <c r="K143" s="132"/>
      <c r="L143" s="132"/>
      <c r="M143" s="132"/>
      <c r="N143" s="132"/>
      <c r="O143" s="132"/>
      <c r="P143" s="132"/>
    </row>
    <row r="144" spans="2:16">
      <c r="B144" s="132">
        <f>IF(('[1]Exercise 6 - Rept Claim Ldfs'!B23-'[1]Exercise 6 - Closed Claim Ldfs'!B23)=0,"",+('[1]Exercise 6 - Inc-Ldfs'!B23-'[1]Exercise 6 - Paid-Ldfs'!B23)/('[1]Exercise 6 - Rept Claim Ldfs'!B23-'[1]Exercise 6 - Closed Claim Ldfs'!B23))</f>
        <v>14296.817204301075</v>
      </c>
      <c r="C144" s="132">
        <f>IF(('[1]Exercise 6 - Rept Claim Ldfs'!C23-'[1]Exercise 6 - Closed Claim Ldfs'!C23)=0,"",+('[1]Exercise 6 - Inc-Ldfs'!C23-'[1]Exercise 6 - Paid-Ldfs'!C23)/('[1]Exercise 6 - Rept Claim Ldfs'!C23-'[1]Exercise 6 - Closed Claim Ldfs'!C23))</f>
        <v>36057.28125</v>
      </c>
      <c r="D144" s="132">
        <f>IF(('[1]Exercise 6 - Rept Claim Ldfs'!D23-'[1]Exercise 6 - Closed Claim Ldfs'!D23)=0,"",+('[1]Exercise 6 - Inc-Ldfs'!D23-'[1]Exercise 6 - Paid-Ldfs'!D23)/('[1]Exercise 6 - Rept Claim Ldfs'!D23-'[1]Exercise 6 - Closed Claim Ldfs'!D23))</f>
        <v>69617.703703703708</v>
      </c>
      <c r="E144" s="132">
        <f>IF(('[1]Exercise 6 - Rept Claim Ldfs'!E23-'[1]Exercise 6 - Closed Claim Ldfs'!E23)=0,"",+('[1]Exercise 6 - Inc-Ldfs'!E23-'[1]Exercise 6 - Paid-Ldfs'!E23)/('[1]Exercise 6 - Rept Claim Ldfs'!E23-'[1]Exercise 6 - Closed Claim Ldfs'!E23))</f>
        <v>74148.28571428571</v>
      </c>
      <c r="F144" s="132">
        <f>IF(('[1]Exercise 6 - Rept Claim Ldfs'!F23-'[1]Exercise 6 - Closed Claim Ldfs'!F23)=0,"",+('[1]Exercise 6 - Inc-Ldfs'!F23-'[1]Exercise 6 - Paid-Ldfs'!F23)/('[1]Exercise 6 - Rept Claim Ldfs'!F23-'[1]Exercise 6 - Closed Claim Ldfs'!F23))</f>
        <v>101201.07692307692</v>
      </c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</row>
    <row r="145" spans="2:16">
      <c r="B145" s="132">
        <f>IF(('[1]Exercise 6 - Rept Claim Ldfs'!B24-'[1]Exercise 6 - Closed Claim Ldfs'!B24)=0,"",+('[1]Exercise 6 - Inc-Ldfs'!B24-'[1]Exercise 6 - Paid-Ldfs'!B24)/('[1]Exercise 6 - Rept Claim Ldfs'!B24-'[1]Exercise 6 - Closed Claim Ldfs'!B24))</f>
        <v>7745.6451612903229</v>
      </c>
      <c r="C145" s="132">
        <f>IF(('[1]Exercise 6 - Rept Claim Ldfs'!C24-'[1]Exercise 6 - Closed Claim Ldfs'!C24)=0,"",+('[1]Exercise 6 - Inc-Ldfs'!C24-'[1]Exercise 6 - Paid-Ldfs'!C24)/('[1]Exercise 6 - Rept Claim Ldfs'!C24-'[1]Exercise 6 - Closed Claim Ldfs'!C24))</f>
        <v>25927.972972972973</v>
      </c>
      <c r="D145" s="132">
        <f>IF(('[1]Exercise 6 - Rept Claim Ldfs'!D24-'[1]Exercise 6 - Closed Claim Ldfs'!D24)=0,"",+('[1]Exercise 6 - Inc-Ldfs'!D24-'[1]Exercise 6 - Paid-Ldfs'!D24)/('[1]Exercise 6 - Rept Claim Ldfs'!D24-'[1]Exercise 6 - Closed Claim Ldfs'!D24))</f>
        <v>41385.884615384617</v>
      </c>
      <c r="E145" s="132">
        <f>IF(('[1]Exercise 6 - Rept Claim Ldfs'!E24-'[1]Exercise 6 - Closed Claim Ldfs'!E24)=0,"",+('[1]Exercise 6 - Inc-Ldfs'!E24-'[1]Exercise 6 - Paid-Ldfs'!E24)/('[1]Exercise 6 - Rept Claim Ldfs'!E24-'[1]Exercise 6 - Closed Claim Ldfs'!E24))</f>
        <v>60222.00421052632</v>
      </c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</row>
    <row r="146" spans="2:16">
      <c r="B146" s="132">
        <f>IF(('[1]Exercise 6 - Rept Claim Ldfs'!B25-'[1]Exercise 6 - Closed Claim Ldfs'!B25)=0,"",+('[1]Exercise 6 - Inc-Ldfs'!B25-'[1]Exercise 6 - Paid-Ldfs'!B25)/('[1]Exercise 6 - Rept Claim Ldfs'!B25-'[1]Exercise 6 - Closed Claim Ldfs'!B25))</f>
        <v>7724.192</v>
      </c>
      <c r="C146" s="132">
        <f>IF(('[1]Exercise 6 - Rept Claim Ldfs'!C25-'[1]Exercise 6 - Closed Claim Ldfs'!C25)=0,"",+('[1]Exercise 6 - Inc-Ldfs'!C25-'[1]Exercise 6 - Paid-Ldfs'!C25)/('[1]Exercise 6 - Rept Claim Ldfs'!C25-'[1]Exercise 6 - Closed Claim Ldfs'!C25))</f>
        <v>31007.655172413793</v>
      </c>
      <c r="D146" s="132">
        <f>IF(('[1]Exercise 6 - Rept Claim Ldfs'!D25-'[1]Exercise 6 - Closed Claim Ldfs'!D25)=0,"",+('[1]Exercise 6 - Inc-Ldfs'!D25-'[1]Exercise 6 - Paid-Ldfs'!D25)/('[1]Exercise 6 - Rept Claim Ldfs'!D25-'[1]Exercise 6 - Closed Claim Ldfs'!D25))</f>
        <v>39711.599999999999</v>
      </c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</row>
    <row r="147" spans="2:16">
      <c r="B147" s="132">
        <f>IF(('[1]Exercise 6 - Rept Claim Ldfs'!B26-'[1]Exercise 6 - Closed Claim Ldfs'!B26)=0,"",+('[1]Exercise 6 - Inc-Ldfs'!B26-'[1]Exercise 6 - Paid-Ldfs'!B26)/('[1]Exercise 6 - Rept Claim Ldfs'!B26-'[1]Exercise 6 - Closed Claim Ldfs'!B26))</f>
        <v>12236.981481481482</v>
      </c>
      <c r="C147" s="132">
        <f>IF(('[1]Exercise 6 - Rept Claim Ldfs'!C26-'[1]Exercise 6 - Closed Claim Ldfs'!C26)=0,"",+('[1]Exercise 6 - Inc-Ldfs'!C26-'[1]Exercise 6 - Paid-Ldfs'!C26)/('[1]Exercise 6 - Rept Claim Ldfs'!C26-'[1]Exercise 6 - Closed Claim Ldfs'!C26))</f>
        <v>46546.289473684214</v>
      </c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</row>
    <row r="148" spans="2:16">
      <c r="B148" s="132">
        <f>IF(('[1]Exercise 6 - Rept Claim Ldfs'!B27-'[1]Exercise 6 - Closed Claim Ldfs'!B27)=0,"",+('[1]Exercise 6 - Inc-Ldfs'!B27-'[1]Exercise 6 - Paid-Ldfs'!B27)/('[1]Exercise 6 - Rept Claim Ldfs'!B27-'[1]Exercise 6 - Closed Claim Ldfs'!B27))</f>
        <v>22777.850574712644</v>
      </c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</row>
  </sheetData>
  <conditionalFormatting sqref="B13:P27">
    <cfRule type="cellIs" dxfId="38" priority="3" stopIfTrue="1" operator="notEqual">
      <formula>S13</formula>
    </cfRule>
  </conditionalFormatting>
  <conditionalFormatting sqref="B37:P51 B61:P75">
    <cfRule type="cellIs" dxfId="37" priority="4" stopIfTrue="1" operator="notEqual">
      <formula>B110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6600FF"/>
  </sheetPr>
  <dimension ref="A1:AK61"/>
  <sheetViews>
    <sheetView showGridLines="0" topLeftCell="E36" workbookViewId="0">
      <selection activeCell="A9" sqref="A9:L61"/>
    </sheetView>
  </sheetViews>
  <sheetFormatPr defaultRowHeight="12.75"/>
  <cols>
    <col min="1" max="1" width="13.42578125" customWidth="1"/>
    <col min="2" max="2" width="18.85546875" bestFit="1" customWidth="1"/>
    <col min="3" max="3" width="15.7109375" bestFit="1" customWidth="1"/>
    <col min="4" max="4" width="14.42578125" bestFit="1" customWidth="1"/>
    <col min="5" max="5" width="15.7109375" bestFit="1" customWidth="1"/>
    <col min="6" max="12" width="20.28515625" customWidth="1"/>
    <col min="13" max="13" width="2.7109375" style="237" customWidth="1"/>
    <col min="14" max="29" width="14.5703125" customWidth="1"/>
  </cols>
  <sheetData>
    <row r="1" spans="1:37" ht="15.75">
      <c r="A1" s="203" t="s">
        <v>0</v>
      </c>
      <c r="B1" s="73"/>
      <c r="M1"/>
    </row>
    <row r="2" spans="1:37" ht="15.75">
      <c r="A2" s="204" t="str">
        <f>+"Analysis of Loss &amp; DCC Reserves as of "&amp;TEXT(EvalDate,"mm/dd/yyy")</f>
        <v>Analysis of Loss &amp; DCC Reserves as of 12/31/2016</v>
      </c>
      <c r="B2" s="73"/>
      <c r="M2"/>
      <c r="AD2" s="135" t="s">
        <v>102</v>
      </c>
      <c r="AE2" s="136"/>
      <c r="AF2" s="136"/>
      <c r="AG2" s="136"/>
      <c r="AH2" s="136"/>
      <c r="AI2" s="136"/>
      <c r="AJ2" s="136"/>
      <c r="AK2" s="137"/>
    </row>
    <row r="3" spans="1:37" ht="15.75">
      <c r="A3" s="205" t="str">
        <f>+LOB</f>
        <v>Liability</v>
      </c>
      <c r="B3" s="73"/>
      <c r="M3"/>
      <c r="AD3" s="105"/>
      <c r="AE3" s="93"/>
      <c r="AF3" s="93"/>
      <c r="AG3" s="93"/>
      <c r="AH3" s="93"/>
      <c r="AI3" s="93"/>
      <c r="AJ3" s="93"/>
      <c r="AK3" s="92"/>
    </row>
    <row r="4" spans="1:37" ht="15.75">
      <c r="B4" s="73"/>
      <c r="M4"/>
      <c r="AD4" s="105"/>
      <c r="AE4" s="93"/>
      <c r="AF4" s="93"/>
      <c r="AG4" s="93"/>
      <c r="AH4" s="93"/>
      <c r="AI4" s="93"/>
      <c r="AJ4" s="93"/>
      <c r="AK4" s="92"/>
    </row>
    <row r="5" spans="1:37" ht="15.75">
      <c r="A5" s="73" t="s">
        <v>103</v>
      </c>
      <c r="B5" s="73"/>
      <c r="M5"/>
      <c r="AD5" s="105"/>
      <c r="AE5" s="93"/>
      <c r="AF5" s="93"/>
      <c r="AG5" s="93"/>
      <c r="AH5" s="93"/>
      <c r="AI5" s="93"/>
      <c r="AJ5" s="93"/>
      <c r="AK5" s="92"/>
    </row>
    <row r="6" spans="1:37" ht="15.75">
      <c r="A6" s="73"/>
      <c r="B6" s="73"/>
      <c r="M6"/>
      <c r="AD6" s="105"/>
      <c r="AE6" s="93"/>
      <c r="AF6" s="93"/>
      <c r="AG6" s="93"/>
      <c r="AH6" s="93"/>
      <c r="AI6" s="93"/>
      <c r="AJ6" s="93"/>
      <c r="AK6" s="92"/>
    </row>
    <row r="7" spans="1:37" ht="15.75">
      <c r="A7" s="73"/>
      <c r="B7" s="73"/>
      <c r="M7"/>
      <c r="AD7" s="105"/>
      <c r="AE7" s="93"/>
      <c r="AF7" s="93"/>
      <c r="AG7" s="93"/>
      <c r="AH7" s="93"/>
      <c r="AI7" s="93"/>
      <c r="AJ7" s="93"/>
      <c r="AK7" s="92"/>
    </row>
    <row r="8" spans="1:37" ht="15.75">
      <c r="A8" s="73"/>
      <c r="M8"/>
      <c r="AD8" s="105"/>
      <c r="AE8" s="93"/>
      <c r="AF8" s="93"/>
      <c r="AG8" s="93"/>
      <c r="AH8" s="93"/>
      <c r="AI8" s="93"/>
      <c r="AJ8" s="93"/>
      <c r="AK8" s="92"/>
    </row>
    <row r="9" spans="1:37" ht="15.75">
      <c r="A9" s="73"/>
      <c r="B9" s="76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77"/>
      <c r="AD9" s="105"/>
      <c r="AE9" s="93"/>
      <c r="AF9" s="93"/>
      <c r="AG9" s="93"/>
      <c r="AH9" s="93"/>
      <c r="AI9" s="93"/>
      <c r="AJ9" s="93"/>
      <c r="AK9" s="92"/>
    </row>
    <row r="10" spans="1:37" ht="15.75">
      <c r="A10" s="73"/>
      <c r="B10" s="79" t="s">
        <v>45</v>
      </c>
      <c r="C10" s="78" t="s">
        <v>46</v>
      </c>
      <c r="D10" s="80" t="s">
        <v>47</v>
      </c>
      <c r="E10" s="79" t="s">
        <v>48</v>
      </c>
      <c r="F10" s="78" t="s">
        <v>87</v>
      </c>
      <c r="G10" s="78" t="s">
        <v>104</v>
      </c>
      <c r="H10" s="79" t="s">
        <v>105</v>
      </c>
      <c r="I10" s="79" t="s">
        <v>106</v>
      </c>
      <c r="J10" s="79" t="s">
        <v>107</v>
      </c>
      <c r="K10" s="79" t="s">
        <v>108</v>
      </c>
      <c r="L10" s="79" t="s">
        <v>109</v>
      </c>
      <c r="M10" s="80"/>
      <c r="AD10" s="105"/>
      <c r="AE10" s="93"/>
      <c r="AF10" s="93"/>
      <c r="AG10" s="93"/>
      <c r="AH10" s="93"/>
      <c r="AI10" s="93"/>
      <c r="AJ10" s="93"/>
      <c r="AK10" s="92"/>
    </row>
    <row r="11" spans="1:37" ht="15.75">
      <c r="A11" s="40"/>
      <c r="B11" s="83"/>
      <c r="C11" s="82"/>
      <c r="D11" s="76"/>
      <c r="E11" s="86"/>
      <c r="F11" s="139" t="str">
        <f>"Indicated Ultimate "&amp;C15</f>
        <v>Indicated Ultimate Loss</v>
      </c>
      <c r="G11" s="140"/>
      <c r="H11" s="140"/>
      <c r="I11" s="140"/>
      <c r="J11" s="140"/>
      <c r="K11" s="141"/>
      <c r="L11" s="76"/>
      <c r="M11" s="77"/>
      <c r="AD11" s="105"/>
      <c r="AE11" s="93"/>
      <c r="AF11" s="93"/>
      <c r="AG11" s="93"/>
      <c r="AH11" s="93"/>
      <c r="AI11" s="93"/>
      <c r="AJ11" s="93"/>
      <c r="AK11" s="92"/>
    </row>
    <row r="12" spans="1:37" ht="15.75">
      <c r="A12" s="46"/>
      <c r="B12" s="83"/>
      <c r="C12" s="86"/>
      <c r="D12" s="83"/>
      <c r="E12" s="86"/>
      <c r="F12" s="76" t="s">
        <v>52</v>
      </c>
      <c r="G12" s="76" t="s">
        <v>64</v>
      </c>
      <c r="H12" s="76"/>
      <c r="I12" s="76" t="s">
        <v>52</v>
      </c>
      <c r="J12" s="76" t="s">
        <v>64</v>
      </c>
      <c r="K12" s="76"/>
      <c r="L12" s="83"/>
      <c r="M12" s="77"/>
      <c r="AD12" s="105"/>
      <c r="AE12" s="93"/>
      <c r="AF12" s="93"/>
      <c r="AG12" s="93"/>
      <c r="AH12" s="93"/>
      <c r="AI12" s="93"/>
      <c r="AJ12" s="93"/>
      <c r="AK12" s="92"/>
    </row>
    <row r="13" spans="1:37" ht="15.75">
      <c r="A13" s="46"/>
      <c r="B13" s="83"/>
      <c r="C13" s="86"/>
      <c r="D13" s="83"/>
      <c r="E13" s="86"/>
      <c r="F13" s="83" t="s">
        <v>53</v>
      </c>
      <c r="G13" s="83" t="s">
        <v>53</v>
      </c>
      <c r="H13" s="83" t="s">
        <v>83</v>
      </c>
      <c r="I13" s="83" t="s">
        <v>110</v>
      </c>
      <c r="J13" s="83" t="s">
        <v>110</v>
      </c>
      <c r="K13" s="83" t="s">
        <v>111</v>
      </c>
      <c r="L13" s="83" t="s">
        <v>73</v>
      </c>
      <c r="M13" s="77"/>
      <c r="AD13" s="105"/>
      <c r="AE13" s="93"/>
      <c r="AF13" s="93"/>
      <c r="AG13" s="93"/>
      <c r="AH13" s="93"/>
      <c r="AI13" s="93"/>
      <c r="AJ13" s="93"/>
      <c r="AK13" s="92"/>
    </row>
    <row r="14" spans="1:37" ht="15.75">
      <c r="A14" s="46" t="s">
        <v>3</v>
      </c>
      <c r="B14" s="86" t="s">
        <v>143</v>
      </c>
      <c r="C14" s="86" t="s">
        <v>52</v>
      </c>
      <c r="D14" s="83" t="s">
        <v>112</v>
      </c>
      <c r="E14" s="86" t="s">
        <v>64</v>
      </c>
      <c r="F14" s="83" t="s">
        <v>55</v>
      </c>
      <c r="G14" s="83" t="s">
        <v>55</v>
      </c>
      <c r="H14" s="83" t="s">
        <v>82</v>
      </c>
      <c r="I14" s="83" t="s">
        <v>113</v>
      </c>
      <c r="J14" s="83" t="s">
        <v>113</v>
      </c>
      <c r="K14" s="83" t="s">
        <v>114</v>
      </c>
      <c r="L14" s="83" t="str">
        <f>C15</f>
        <v>Loss</v>
      </c>
      <c r="M14" s="77"/>
      <c r="AD14" s="105"/>
      <c r="AE14" s="93"/>
      <c r="AF14" s="93"/>
      <c r="AG14" s="93"/>
      <c r="AH14" s="93"/>
      <c r="AI14" s="93"/>
      <c r="AJ14" s="93"/>
      <c r="AK14" s="92"/>
    </row>
    <row r="15" spans="1:37" ht="15.75">
      <c r="A15" s="87" t="s">
        <v>5</v>
      </c>
      <c r="B15" s="87" t="s">
        <v>58</v>
      </c>
      <c r="C15" s="87" t="s">
        <v>53</v>
      </c>
      <c r="D15" s="87" t="s">
        <v>56</v>
      </c>
      <c r="E15" s="88" t="str">
        <f>$C$15</f>
        <v>Loss</v>
      </c>
      <c r="F15" s="87" t="s">
        <v>60</v>
      </c>
      <c r="G15" s="87" t="s">
        <v>60</v>
      </c>
      <c r="H15" s="87" t="s">
        <v>60</v>
      </c>
      <c r="I15" s="87" t="s">
        <v>60</v>
      </c>
      <c r="J15" s="87" t="s">
        <v>60</v>
      </c>
      <c r="K15" s="87" t="s">
        <v>115</v>
      </c>
      <c r="L15" s="87" t="s">
        <v>34</v>
      </c>
      <c r="M15" s="77"/>
      <c r="AD15" s="105"/>
      <c r="AE15" s="93"/>
      <c r="AF15" s="93"/>
      <c r="AG15" s="93"/>
      <c r="AH15" s="93"/>
      <c r="AI15" s="93"/>
      <c r="AJ15" s="93"/>
      <c r="AK15" s="92"/>
    </row>
    <row r="16" spans="1:37">
      <c r="A16" s="89"/>
      <c r="B16" s="110"/>
      <c r="C16" s="90"/>
      <c r="D16" s="142"/>
      <c r="E16" s="90"/>
      <c r="F16" s="91"/>
      <c r="G16" s="90"/>
      <c r="H16" s="90"/>
      <c r="I16" s="90"/>
      <c r="J16" s="90"/>
      <c r="K16" s="90"/>
      <c r="L16" s="92"/>
      <c r="M16" s="240"/>
      <c r="AD16" s="105"/>
      <c r="AE16" s="93"/>
      <c r="AF16" s="93"/>
      <c r="AG16" s="93"/>
      <c r="AH16" s="93"/>
      <c r="AI16" s="93"/>
      <c r="AJ16" s="93"/>
      <c r="AK16" s="92"/>
    </row>
    <row r="17" spans="1:37" ht="15.75">
      <c r="A17" s="89">
        <f t="shared" ref="A17:A29" si="0">+A18-1</f>
        <v>2002</v>
      </c>
      <c r="B17" s="143">
        <f>+'Input Data'!C14</f>
        <v>6953372</v>
      </c>
      <c r="C17" s="111">
        <f>'[1]Exercise 6 - Paid-Ldfs'!P13</f>
        <v>4066336.3900369992</v>
      </c>
      <c r="D17" s="96">
        <f>E17-C17</f>
        <v>164371.90895800013</v>
      </c>
      <c r="E17" s="111">
        <f>'[1]Exercise 6 - Inc-Ldfs'!P13</f>
        <v>4230708.2989949994</v>
      </c>
      <c r="F17" s="111">
        <f>+'Exercise 7 &amp; 8 PD Dev Meth  '!F17</f>
        <v>0</v>
      </c>
      <c r="G17" s="111">
        <f>+'Exercise 7 &amp; 8 Inc Dev Meth'!F17</f>
        <v>4230708.2989949994</v>
      </c>
      <c r="H17" s="111">
        <f>+'Exercise 10 - Expected LR Meth'!H13</f>
        <v>0</v>
      </c>
      <c r="I17" s="117">
        <f>+'Exercise 11 - Paid BF Meth'!H15</f>
        <v>0</v>
      </c>
      <c r="J17" s="117">
        <f>+'Exercise 11 - Inc BF Meth'!H17</f>
        <v>4230708.2989949994</v>
      </c>
      <c r="K17" s="106">
        <f t="shared" ref="K17:K30" si="1">AVERAGE(F17:J17)</f>
        <v>1692283.3195979998</v>
      </c>
      <c r="L17" s="222">
        <f>+MAX(AVERAGE(F17:K17),E17)</f>
        <v>4230708.2989949994</v>
      </c>
      <c r="M17" s="275"/>
      <c r="AD17" s="105"/>
      <c r="AE17" s="93">
        <v>29126885</v>
      </c>
      <c r="AF17" s="128">
        <f>+E17/B17</f>
        <v>0.60843980431292899</v>
      </c>
      <c r="AG17" s="93"/>
      <c r="AH17" s="93"/>
      <c r="AI17" s="93"/>
      <c r="AJ17" s="93"/>
      <c r="AK17" s="92"/>
    </row>
    <row r="18" spans="1:37" ht="15.75">
      <c r="A18" s="89">
        <f t="shared" si="0"/>
        <v>2003</v>
      </c>
      <c r="B18" s="143">
        <f>+'Input Data'!C15</f>
        <v>6567116</v>
      </c>
      <c r="C18" s="111">
        <f>'[1]Exercise 6 - Paid-Ldfs'!O14</f>
        <v>3271028.46</v>
      </c>
      <c r="D18" s="96">
        <f t="shared" ref="D18:D31" si="2">E18-C18</f>
        <v>49522.540000000503</v>
      </c>
      <c r="E18" s="111">
        <f>'[1]Exercise 6 - Inc-Ldfs'!O14</f>
        <v>3320551.0000000005</v>
      </c>
      <c r="F18" s="111">
        <f>+'Exercise 7 &amp; 8 PD Dev Meth  '!F18</f>
        <v>0</v>
      </c>
      <c r="G18" s="111">
        <f>+'Exercise 7 &amp; 8 Inc Dev Meth'!F18</f>
        <v>3320551.0000000005</v>
      </c>
      <c r="H18" s="111">
        <f>+'Exercise 10 - Expected LR Meth'!H14</f>
        <v>0</v>
      </c>
      <c r="I18" s="117">
        <f>+'Exercise 11 - Paid BF Meth'!H16</f>
        <v>0</v>
      </c>
      <c r="J18" s="117">
        <f>+'Exercise 11 - Inc BF Meth'!H18</f>
        <v>3320551.0000000005</v>
      </c>
      <c r="K18" s="106">
        <f t="shared" si="1"/>
        <v>1328220.4000000001</v>
      </c>
      <c r="L18" s="222">
        <f t="shared" ref="L18:L31" si="3">+MAX(AVERAGE(F18:K18),E18)</f>
        <v>3320551.0000000005</v>
      </c>
      <c r="M18" s="275"/>
      <c r="AD18" s="105"/>
      <c r="AE18" s="93">
        <v>27729939</v>
      </c>
      <c r="AF18" s="128">
        <f t="shared" ref="AF18:AF30" si="4">+E18/B18</f>
        <v>0.50563306632622307</v>
      </c>
      <c r="AG18" s="93"/>
      <c r="AH18" s="93"/>
      <c r="AI18" s="93"/>
      <c r="AJ18" s="93"/>
      <c r="AK18" s="92"/>
    </row>
    <row r="19" spans="1:37" ht="15.75">
      <c r="A19" s="89">
        <f t="shared" si="0"/>
        <v>2004</v>
      </c>
      <c r="B19" s="143">
        <f>+'Input Data'!C16</f>
        <v>6690146</v>
      </c>
      <c r="C19" s="111">
        <f>'[1]Exercise 6 - Paid-Ldfs'!N15</f>
        <v>4586913</v>
      </c>
      <c r="D19" s="96">
        <f t="shared" si="2"/>
        <v>35227</v>
      </c>
      <c r="E19" s="111">
        <f>'[1]Exercise 6 - Inc-Ldfs'!N15</f>
        <v>4622140</v>
      </c>
      <c r="F19" s="111">
        <f>+'Exercise 7 &amp; 8 PD Dev Meth  '!F19</f>
        <v>0</v>
      </c>
      <c r="G19" s="111">
        <f>+'Exercise 7 &amp; 8 Inc Dev Meth'!F19</f>
        <v>4646721.5151396068</v>
      </c>
      <c r="H19" s="111">
        <f>+'Exercise 10 - Expected LR Meth'!H15</f>
        <v>0</v>
      </c>
      <c r="I19" s="117">
        <f>+'Exercise 11 - Paid BF Meth'!H17</f>
        <v>0</v>
      </c>
      <c r="J19" s="117">
        <f>+'Exercise 11 - Inc BF Meth'!H19</f>
        <v>4622140</v>
      </c>
      <c r="K19" s="106">
        <f t="shared" si="1"/>
        <v>1853772.3030279211</v>
      </c>
      <c r="L19" s="222">
        <f t="shared" si="3"/>
        <v>4622140</v>
      </c>
      <c r="M19" s="275"/>
      <c r="AD19" s="105"/>
      <c r="AE19" s="93">
        <v>28182648</v>
      </c>
      <c r="AF19" s="128">
        <f t="shared" si="4"/>
        <v>0.69088776238963989</v>
      </c>
      <c r="AG19" s="93"/>
      <c r="AH19" s="93"/>
      <c r="AI19" s="93"/>
      <c r="AJ19" s="93"/>
      <c r="AK19" s="92"/>
    </row>
    <row r="20" spans="1:37" ht="15.75">
      <c r="A20" s="89">
        <f t="shared" si="0"/>
        <v>2005</v>
      </c>
      <c r="B20" s="143">
        <f>+'Input Data'!C17</f>
        <v>7103262.0000000009</v>
      </c>
      <c r="C20" s="111">
        <f>'[1]Exercise 6 - Paid-Ldfs'!M16</f>
        <v>4556737.22</v>
      </c>
      <c r="D20" s="96">
        <f t="shared" si="2"/>
        <v>73106.779999999329</v>
      </c>
      <c r="E20" s="111">
        <f>'[1]Exercise 6 - Inc-Ldfs'!M16</f>
        <v>4629843.9999999991</v>
      </c>
      <c r="F20" s="111">
        <f>+'Exercise 7 &amp; 8 PD Dev Meth  '!F20</f>
        <v>0</v>
      </c>
      <c r="G20" s="111">
        <f>+'Exercise 7 &amp; 8 Inc Dev Meth'!F20</f>
        <v>4683358.6224301504</v>
      </c>
      <c r="H20" s="111">
        <f>+'Exercise 10 - Expected LR Meth'!H16</f>
        <v>0</v>
      </c>
      <c r="I20" s="117">
        <f>+'Exercise 11 - Paid BF Meth'!H18</f>
        <v>0</v>
      </c>
      <c r="J20" s="117">
        <f>+'Exercise 11 - Inc BF Meth'!H20</f>
        <v>4629843.9999999991</v>
      </c>
      <c r="K20" s="106">
        <f t="shared" si="1"/>
        <v>1862640.52448603</v>
      </c>
      <c r="L20" s="222">
        <f t="shared" si="3"/>
        <v>4629843.9999999991</v>
      </c>
      <c r="M20" s="275"/>
      <c r="AD20" s="105"/>
      <c r="AE20" s="93">
        <v>29537417</v>
      </c>
      <c r="AF20" s="128">
        <f t="shared" si="4"/>
        <v>0.65179124745785788</v>
      </c>
      <c r="AG20" s="93"/>
      <c r="AH20" s="93"/>
      <c r="AI20" s="93"/>
      <c r="AJ20" s="93"/>
      <c r="AK20" s="92"/>
    </row>
    <row r="21" spans="1:37" ht="15.75">
      <c r="A21" s="89">
        <f t="shared" si="0"/>
        <v>2006</v>
      </c>
      <c r="B21" s="143">
        <f>+'Input Data'!C18</f>
        <v>7959030</v>
      </c>
      <c r="C21" s="111">
        <f>'[1]Exercise 6 - Paid-Ldfs'!L17</f>
        <v>4357830.49</v>
      </c>
      <c r="D21" s="96">
        <f t="shared" si="2"/>
        <v>363441.50999999978</v>
      </c>
      <c r="E21" s="111">
        <f>'[1]Exercise 6 - Inc-Ldfs'!L17</f>
        <v>4721272</v>
      </c>
      <c r="F21" s="111">
        <f>+'Exercise 7 &amp; 8 PD Dev Meth  '!F21</f>
        <v>0</v>
      </c>
      <c r="G21" s="111">
        <f>+'Exercise 7 &amp; 8 Inc Dev Meth'!F21</f>
        <v>4858838.591131499</v>
      </c>
      <c r="H21" s="111">
        <f>+'Exercise 10 - Expected LR Meth'!H17</f>
        <v>0</v>
      </c>
      <c r="I21" s="117">
        <f>+'Exercise 11 - Paid BF Meth'!H19</f>
        <v>0</v>
      </c>
      <c r="J21" s="117">
        <f>+'Exercise 11 - Inc BF Meth'!H21</f>
        <v>4721272</v>
      </c>
      <c r="K21" s="106">
        <f t="shared" si="1"/>
        <v>1916022.1182262998</v>
      </c>
      <c r="L21" s="222">
        <f t="shared" si="3"/>
        <v>4721272</v>
      </c>
      <c r="M21" s="275"/>
      <c r="AD21" s="105"/>
      <c r="AE21" s="93">
        <v>32657807</v>
      </c>
      <c r="AF21" s="128">
        <f t="shared" si="4"/>
        <v>0.59319690967366623</v>
      </c>
      <c r="AG21" s="93"/>
      <c r="AH21" s="93"/>
      <c r="AI21" s="93"/>
      <c r="AJ21" s="93"/>
      <c r="AK21" s="92"/>
    </row>
    <row r="22" spans="1:37" ht="15.75">
      <c r="A22" s="89">
        <f t="shared" si="0"/>
        <v>2007</v>
      </c>
      <c r="B22" s="143">
        <f>+'Input Data'!C19</f>
        <v>9363418</v>
      </c>
      <c r="C22" s="111">
        <f>'[1]Exercise 6 - Paid-Ldfs'!K18</f>
        <v>3174352.51</v>
      </c>
      <c r="D22" s="96">
        <f t="shared" si="2"/>
        <v>70004.490000000224</v>
      </c>
      <c r="E22" s="111">
        <f>'[1]Exercise 6 - Inc-Ldfs'!K18</f>
        <v>3244357</v>
      </c>
      <c r="F22" s="111">
        <f>+'Exercise 7 &amp; 8 PD Dev Meth  '!F22</f>
        <v>0</v>
      </c>
      <c r="G22" s="111">
        <f>+'Exercise 7 &amp; 8 Inc Dev Meth'!F22</f>
        <v>3541613.6865702062</v>
      </c>
      <c r="H22" s="111">
        <f>+'Exercise 10 - Expected LR Meth'!H18</f>
        <v>0</v>
      </c>
      <c r="I22" s="117">
        <f>+'Exercise 11 - Paid BF Meth'!H20</f>
        <v>0</v>
      </c>
      <c r="J22" s="117">
        <f>+'Exercise 11 - Inc BF Meth'!H22</f>
        <v>3244357</v>
      </c>
      <c r="K22" s="106">
        <f t="shared" si="1"/>
        <v>1357194.1373140414</v>
      </c>
      <c r="L22" s="222">
        <f t="shared" si="3"/>
        <v>3244357</v>
      </c>
      <c r="M22" s="275"/>
      <c r="AD22" s="105"/>
      <c r="AE22" s="93">
        <v>36929356</v>
      </c>
      <c r="AF22" s="128">
        <f t="shared" si="4"/>
        <v>0.34649280850219438</v>
      </c>
      <c r="AG22" s="93"/>
      <c r="AH22" s="93"/>
      <c r="AI22" s="93"/>
      <c r="AJ22" s="93"/>
      <c r="AK22" s="92"/>
    </row>
    <row r="23" spans="1:37" ht="15.75">
      <c r="A23" s="89">
        <f t="shared" si="0"/>
        <v>2008</v>
      </c>
      <c r="B23" s="143">
        <f>+'Input Data'!C20</f>
        <v>10597562</v>
      </c>
      <c r="C23" s="111">
        <f>'[1]Exercise 6 - Paid-Ldfs'!J19</f>
        <v>2329891</v>
      </c>
      <c r="D23" s="96">
        <f t="shared" si="2"/>
        <v>0</v>
      </c>
      <c r="E23" s="111">
        <f>'[1]Exercise 6 - Inc-Ldfs'!J19</f>
        <v>2329891</v>
      </c>
      <c r="F23" s="111">
        <f>+'Exercise 7 &amp; 8 PD Dev Meth  '!F23</f>
        <v>0</v>
      </c>
      <c r="G23" s="111">
        <f>+'Exercise 7 &amp; 8 Inc Dev Meth'!F23</f>
        <v>2734738.6358561409</v>
      </c>
      <c r="H23" s="111">
        <f>+'Exercise 10 - Expected LR Meth'!H19</f>
        <v>0</v>
      </c>
      <c r="I23" s="117">
        <f>+'Exercise 11 - Paid BF Meth'!H21</f>
        <v>0</v>
      </c>
      <c r="J23" s="117">
        <f>+'Exercise 11 - Inc BF Meth'!H23</f>
        <v>2329891</v>
      </c>
      <c r="K23" s="106">
        <f t="shared" si="1"/>
        <v>1012925.9271712281</v>
      </c>
      <c r="L23" s="222">
        <f t="shared" si="3"/>
        <v>2329891</v>
      </c>
      <c r="M23" s="275"/>
      <c r="AD23" s="105"/>
      <c r="AE23" s="93">
        <v>40794667</v>
      </c>
      <c r="AF23" s="128">
        <f t="shared" si="4"/>
        <v>0.21985160360467812</v>
      </c>
      <c r="AG23" s="93"/>
      <c r="AH23" s="93"/>
      <c r="AI23" s="93"/>
      <c r="AJ23" s="93"/>
      <c r="AK23" s="92"/>
    </row>
    <row r="24" spans="1:37" ht="15.75">
      <c r="A24" s="89">
        <f t="shared" si="0"/>
        <v>2009</v>
      </c>
      <c r="B24" s="143">
        <f>+'Input Data'!C21</f>
        <v>11036360</v>
      </c>
      <c r="C24" s="111">
        <f>'[1]Exercise 6 - Paid-Ldfs'!I20</f>
        <v>2463991.9700000002</v>
      </c>
      <c r="D24" s="96">
        <f t="shared" si="2"/>
        <v>210753.0299999998</v>
      </c>
      <c r="E24" s="111">
        <f>'[1]Exercise 6 - Inc-Ldfs'!I20</f>
        <v>2674745</v>
      </c>
      <c r="F24" s="111">
        <f>+'Exercise 7 &amp; 8 PD Dev Meth  '!F24</f>
        <v>0</v>
      </c>
      <c r="G24" s="111">
        <f>+'Exercise 7 &amp; 8 Inc Dev Meth'!F24</f>
        <v>3170799.8275274825</v>
      </c>
      <c r="H24" s="111">
        <f>+'Exercise 10 - Expected LR Meth'!H20</f>
        <v>0</v>
      </c>
      <c r="I24" s="117">
        <f>+'Exercise 11 - Paid BF Meth'!H22</f>
        <v>0</v>
      </c>
      <c r="J24" s="117">
        <f>+'Exercise 11 - Inc BF Meth'!H24</f>
        <v>2674745</v>
      </c>
      <c r="K24" s="106">
        <f t="shared" si="1"/>
        <v>1169108.9655054964</v>
      </c>
      <c r="L24" s="222">
        <f t="shared" si="3"/>
        <v>2674745</v>
      </c>
      <c r="M24" s="275"/>
      <c r="AD24" s="105"/>
      <c r="AE24" s="93">
        <v>41991919</v>
      </c>
      <c r="AF24" s="128">
        <f t="shared" si="4"/>
        <v>0.24235753454943479</v>
      </c>
      <c r="AG24" s="93"/>
      <c r="AH24" s="93"/>
      <c r="AI24" s="93"/>
      <c r="AJ24" s="93"/>
      <c r="AK24" s="92"/>
    </row>
    <row r="25" spans="1:37" ht="15.75">
      <c r="A25" s="89">
        <f t="shared" si="0"/>
        <v>2010</v>
      </c>
      <c r="B25" s="143">
        <f>+'Input Data'!C22</f>
        <v>11402928</v>
      </c>
      <c r="C25" s="111">
        <f>'[1]Exercise 6 - Paid-Ldfs'!H21</f>
        <v>3156139.46</v>
      </c>
      <c r="D25" s="96">
        <f t="shared" si="2"/>
        <v>475723.54000000004</v>
      </c>
      <c r="E25" s="111">
        <f>'[1]Exercise 6 - Inc-Ldfs'!H21</f>
        <v>3631863</v>
      </c>
      <c r="F25" s="111">
        <f>+'Exercise 7 &amp; 8 PD Dev Meth  '!F25</f>
        <v>0</v>
      </c>
      <c r="G25" s="111">
        <f>+'Exercise 7 &amp; 8 Inc Dev Meth'!F25</f>
        <v>4280388.0927642798</v>
      </c>
      <c r="H25" s="111">
        <f>+'Exercise 10 - Expected LR Meth'!H21</f>
        <v>0</v>
      </c>
      <c r="I25" s="117">
        <f>+'Exercise 11 - Paid BF Meth'!H23</f>
        <v>0</v>
      </c>
      <c r="J25" s="117">
        <f>+'Exercise 11 - Inc BF Meth'!H25</f>
        <v>3631863</v>
      </c>
      <c r="K25" s="106">
        <f t="shared" si="1"/>
        <v>1582450.218552856</v>
      </c>
      <c r="L25" s="222">
        <f t="shared" si="3"/>
        <v>3631863</v>
      </c>
      <c r="M25" s="275"/>
      <c r="AD25" s="105"/>
      <c r="AE25" s="93">
        <v>42442251</v>
      </c>
      <c r="AF25" s="128">
        <f t="shared" si="4"/>
        <v>0.31850266878822703</v>
      </c>
      <c r="AG25" s="93"/>
      <c r="AH25" s="93"/>
      <c r="AI25" s="93"/>
      <c r="AJ25" s="93"/>
      <c r="AK25" s="92"/>
    </row>
    <row r="26" spans="1:37" ht="15.75">
      <c r="A26" s="89">
        <f t="shared" si="0"/>
        <v>2011</v>
      </c>
      <c r="B26" s="143">
        <f>+'Input Data'!C23</f>
        <v>11099580</v>
      </c>
      <c r="C26" s="111">
        <f>'[1]Exercise 6 - Paid-Ldfs'!G22</f>
        <v>6907218</v>
      </c>
      <c r="D26" s="96">
        <f t="shared" si="2"/>
        <v>535550</v>
      </c>
      <c r="E26" s="111">
        <f>'[1]Exercise 6 - Inc-Ldfs'!G22</f>
        <v>7442768</v>
      </c>
      <c r="F26" s="111">
        <f>+'Exercise 7 &amp; 8 PD Dev Meth  '!F26</f>
        <v>0</v>
      </c>
      <c r="G26" s="111">
        <f>+'Exercise 7 &amp; 8 Inc Dev Meth'!F26</f>
        <v>8914050.2412558272</v>
      </c>
      <c r="H26" s="111">
        <f>+'Exercise 10 - Expected LR Meth'!H22</f>
        <v>0</v>
      </c>
      <c r="I26" s="117">
        <f>+'Exercise 11 - Paid BF Meth'!H24</f>
        <v>0</v>
      </c>
      <c r="J26" s="117">
        <f>+'Exercise 11 - Inc BF Meth'!H26</f>
        <v>7442768</v>
      </c>
      <c r="K26" s="106">
        <f t="shared" si="1"/>
        <v>3271363.6482511656</v>
      </c>
      <c r="L26" s="222">
        <f t="shared" si="3"/>
        <v>7442768</v>
      </c>
      <c r="M26" s="275"/>
      <c r="AD26" s="105"/>
      <c r="AE26" s="93">
        <v>42759322</v>
      </c>
      <c r="AF26" s="128">
        <f t="shared" si="4"/>
        <v>0.67054501161305202</v>
      </c>
      <c r="AG26" s="93"/>
      <c r="AH26" s="93"/>
      <c r="AI26" s="93"/>
      <c r="AJ26" s="93"/>
      <c r="AK26" s="92"/>
    </row>
    <row r="27" spans="1:37" ht="15.75">
      <c r="A27" s="89">
        <f t="shared" si="0"/>
        <v>2012</v>
      </c>
      <c r="B27" s="143">
        <f>+'Input Data'!C24</f>
        <v>10683363</v>
      </c>
      <c r="C27" s="111">
        <f>'[1]Exercise 6 - Paid-Ldfs'!F23</f>
        <v>4132680</v>
      </c>
      <c r="D27" s="96">
        <f t="shared" si="2"/>
        <v>1315614</v>
      </c>
      <c r="E27" s="111">
        <f>'[1]Exercise 6 - Inc-Ldfs'!F23</f>
        <v>5448294</v>
      </c>
      <c r="F27" s="111">
        <f>+'Exercise 7 &amp; 8 PD Dev Meth  '!F27</f>
        <v>0</v>
      </c>
      <c r="G27" s="111">
        <f>+'Exercise 7 &amp; 8 Inc Dev Meth'!F27</f>
        <v>6671330.0577424951</v>
      </c>
      <c r="H27" s="111">
        <f>+'Exercise 10 - Expected LR Meth'!H23</f>
        <v>0</v>
      </c>
      <c r="I27" s="117">
        <f>+'Exercise 11 - Paid BF Meth'!H25</f>
        <v>0</v>
      </c>
      <c r="J27" s="117">
        <f>+'Exercise 11 - Inc BF Meth'!H27</f>
        <v>5448294</v>
      </c>
      <c r="K27" s="106">
        <f t="shared" si="1"/>
        <v>2423924.8115484989</v>
      </c>
      <c r="L27" s="222">
        <f t="shared" si="3"/>
        <v>5448294</v>
      </c>
      <c r="M27" s="275"/>
      <c r="AD27" s="105"/>
      <c r="AE27" s="93">
        <v>42613767</v>
      </c>
      <c r="AF27" s="128">
        <f t="shared" si="4"/>
        <v>0.50997930146153414</v>
      </c>
      <c r="AG27" s="93"/>
      <c r="AH27" s="93"/>
      <c r="AI27" s="93"/>
      <c r="AJ27" s="93"/>
      <c r="AK27" s="92"/>
    </row>
    <row r="28" spans="1:37" ht="15.75">
      <c r="A28" s="89">
        <f t="shared" si="0"/>
        <v>2013</v>
      </c>
      <c r="B28" s="143">
        <f>+'Input Data'!C25</f>
        <v>10430225</v>
      </c>
      <c r="C28" s="111">
        <f>'[1]Exercise 6 - Paid-Ldfs'!E24</f>
        <v>1766812.92</v>
      </c>
      <c r="D28" s="96">
        <f t="shared" si="2"/>
        <v>1144218.08</v>
      </c>
      <c r="E28" s="111">
        <f>'[1]Exercise 6 - Inc-Ldfs'!E24</f>
        <v>2911031</v>
      </c>
      <c r="F28" s="111">
        <f>+'Exercise 7 &amp; 8 PD Dev Meth  '!F28</f>
        <v>0</v>
      </c>
      <c r="G28" s="111">
        <f>+'Exercise 7 &amp; 8 Inc Dev Meth'!F28</f>
        <v>3789306.246654748</v>
      </c>
      <c r="H28" s="111">
        <f>+'Exercise 10 - Expected LR Meth'!H24</f>
        <v>0</v>
      </c>
      <c r="I28" s="117">
        <f>+'Exercise 11 - Paid BF Meth'!H26</f>
        <v>0</v>
      </c>
      <c r="J28" s="117">
        <f>+'Exercise 11 - Inc BF Meth'!H28</f>
        <v>2911031</v>
      </c>
      <c r="K28" s="106">
        <f t="shared" si="1"/>
        <v>1340067.4493309497</v>
      </c>
      <c r="L28" s="222">
        <f t="shared" si="3"/>
        <v>2911031</v>
      </c>
      <c r="M28" s="275"/>
      <c r="AD28" s="105"/>
      <c r="AE28" s="93">
        <v>43011292</v>
      </c>
      <c r="AF28" s="128">
        <f t="shared" si="4"/>
        <v>0.27909570503033254</v>
      </c>
      <c r="AG28" s="93"/>
      <c r="AH28" s="93"/>
      <c r="AI28" s="93"/>
      <c r="AJ28" s="93"/>
      <c r="AK28" s="92"/>
    </row>
    <row r="29" spans="1:37" ht="15.75">
      <c r="A29" s="89">
        <f t="shared" si="0"/>
        <v>2014</v>
      </c>
      <c r="B29" s="143">
        <f>+'Input Data'!C26</f>
        <v>10106327</v>
      </c>
      <c r="C29" s="111">
        <f>'[1]Exercise 6 - Paid-Ldfs'!D25</f>
        <v>1655619</v>
      </c>
      <c r="D29" s="96">
        <f t="shared" si="2"/>
        <v>1389906</v>
      </c>
      <c r="E29" s="111">
        <f>'[1]Exercise 6 - Inc-Ldfs'!D25</f>
        <v>3045525</v>
      </c>
      <c r="F29" s="111">
        <f>+'Exercise 7 &amp; 8 PD Dev Meth  '!F29</f>
        <v>0</v>
      </c>
      <c r="G29" s="111">
        <f>+'Exercise 7 &amp; 8 Inc Dev Meth'!F29</f>
        <v>4502480.2348786611</v>
      </c>
      <c r="H29" s="111">
        <f>+'Exercise 10 - Expected LR Meth'!H25</f>
        <v>0</v>
      </c>
      <c r="I29" s="117">
        <f>+'Exercise 11 - Paid BF Meth'!H27</f>
        <v>0</v>
      </c>
      <c r="J29" s="117">
        <f>+'Exercise 11 - Inc BF Meth'!H29</f>
        <v>3045525</v>
      </c>
      <c r="K29" s="106">
        <f t="shared" si="1"/>
        <v>1509601.0469757323</v>
      </c>
      <c r="L29" s="222">
        <f t="shared" si="3"/>
        <v>3045525</v>
      </c>
      <c r="M29" s="275"/>
      <c r="AD29" s="105"/>
      <c r="AE29" s="93">
        <v>42681591</v>
      </c>
      <c r="AF29" s="128">
        <f t="shared" si="4"/>
        <v>0.30134835336319515</v>
      </c>
      <c r="AG29" s="93"/>
      <c r="AH29" s="93"/>
      <c r="AI29" s="93"/>
      <c r="AJ29" s="93"/>
      <c r="AK29" s="92"/>
    </row>
    <row r="30" spans="1:37" ht="15.75">
      <c r="A30" s="89">
        <f>+A31-1</f>
        <v>2015</v>
      </c>
      <c r="B30" s="143">
        <f>+'Input Data'!C27</f>
        <v>9889744</v>
      </c>
      <c r="C30" s="111">
        <f>'[1]Exercise 6 - Paid-Ldfs'!C26</f>
        <v>629188</v>
      </c>
      <c r="D30" s="96">
        <f t="shared" si="2"/>
        <v>1768759</v>
      </c>
      <c r="E30" s="111">
        <f>'[1]Exercise 6 - Inc-Ldfs'!C26</f>
        <v>2397947</v>
      </c>
      <c r="F30" s="111">
        <f>+'Exercise 7 &amp; 8 PD Dev Meth  '!F30</f>
        <v>0</v>
      </c>
      <c r="G30" s="111">
        <f>+'Exercise 7 &amp; 8 Inc Dev Meth'!F30</f>
        <v>4323484.1717564268</v>
      </c>
      <c r="H30" s="111">
        <f>+'Exercise 10 - Expected LR Meth'!H26</f>
        <v>0</v>
      </c>
      <c r="I30" s="117">
        <f>+'Exercise 11 - Paid BF Meth'!H28</f>
        <v>0</v>
      </c>
      <c r="J30" s="117">
        <f>+'Exercise 11 - Inc BF Meth'!H30</f>
        <v>2397947</v>
      </c>
      <c r="K30" s="106">
        <f t="shared" si="1"/>
        <v>1344286.2343512853</v>
      </c>
      <c r="L30" s="222">
        <f t="shared" si="3"/>
        <v>2397947</v>
      </c>
      <c r="M30" s="275"/>
      <c r="AD30" s="105"/>
      <c r="AE30" s="93">
        <v>41673544</v>
      </c>
      <c r="AF30" s="128">
        <f t="shared" si="4"/>
        <v>0.24246805579598421</v>
      </c>
      <c r="AG30" s="93"/>
      <c r="AH30" s="93"/>
      <c r="AI30" s="93"/>
      <c r="AJ30" s="93"/>
      <c r="AK30" s="92"/>
    </row>
    <row r="31" spans="1:37" ht="15.75">
      <c r="A31" s="89">
        <f>+EndYear</f>
        <v>2016</v>
      </c>
      <c r="B31" s="143">
        <f>+'Input Data'!C28</f>
        <v>9998035.5</v>
      </c>
      <c r="C31" s="111">
        <f>'[1]Exercise 6 - Paid-Ldfs'!B27</f>
        <v>383397</v>
      </c>
      <c r="D31" s="96">
        <f t="shared" si="2"/>
        <v>1981673</v>
      </c>
      <c r="E31" s="111">
        <f>'[1]Exercise 6 - Inc-Ldfs'!B27</f>
        <v>2365070</v>
      </c>
      <c r="F31" s="111">
        <f>+'Exercise 7 &amp; 8 PD Dev Meth  '!F31</f>
        <v>0</v>
      </c>
      <c r="G31" s="111">
        <f>+'Exercise 7 &amp; 8 Inc Dev Meth'!F31</f>
        <v>6315902.4454309791</v>
      </c>
      <c r="H31" s="111">
        <f>+'Exercise 10 - Expected LR Meth'!H27</f>
        <v>0</v>
      </c>
      <c r="I31" s="117">
        <f>+'Exercise 11 - Paid BF Meth'!H29</f>
        <v>0</v>
      </c>
      <c r="J31" s="117">
        <f>+'Exercise 11 - Inc BF Meth'!H31</f>
        <v>2365070</v>
      </c>
      <c r="K31" s="106">
        <f>AVERAGE(F31:J31)</f>
        <v>1736194.4890861958</v>
      </c>
      <c r="L31" s="222">
        <f t="shared" si="3"/>
        <v>2365070</v>
      </c>
      <c r="M31" s="275"/>
      <c r="AD31" s="105"/>
      <c r="AE31" s="93"/>
      <c r="AF31" s="93"/>
      <c r="AG31" s="93"/>
      <c r="AH31" s="93"/>
      <c r="AI31" s="93"/>
      <c r="AJ31" s="93"/>
      <c r="AK31" s="92"/>
    </row>
    <row r="32" spans="1:37">
      <c r="A32" s="89"/>
      <c r="B32" s="114"/>
      <c r="C32" s="95"/>
      <c r="D32" s="144"/>
      <c r="E32" s="95"/>
      <c r="F32" s="95"/>
      <c r="G32" s="95"/>
      <c r="H32" s="95"/>
      <c r="I32" s="95"/>
      <c r="J32" s="95"/>
      <c r="K32" s="95"/>
      <c r="L32" s="223"/>
      <c r="M32" s="242"/>
      <c r="AD32" s="105"/>
      <c r="AE32" s="93"/>
      <c r="AF32" s="93"/>
      <c r="AG32" s="93"/>
      <c r="AH32" s="93"/>
      <c r="AI32" s="93"/>
      <c r="AJ32" s="93"/>
      <c r="AK32" s="92"/>
    </row>
    <row r="33" spans="1:37">
      <c r="A33" s="97" t="s">
        <v>63</v>
      </c>
      <c r="B33" s="98">
        <f>SUM(B16:B32)</f>
        <v>139880468.5</v>
      </c>
      <c r="C33" s="98">
        <f>SUM(C16:C32)</f>
        <v>47438135.420037001</v>
      </c>
      <c r="D33" s="98">
        <f>SUM(D16:D32)</f>
        <v>9577870.8789579999</v>
      </c>
      <c r="E33" s="98">
        <f>SUM(E16:E32)</f>
        <v>57016006.298995003</v>
      </c>
      <c r="F33" s="98">
        <f t="shared" ref="F33:L33" si="5">SUM(F16:F32)</f>
        <v>0</v>
      </c>
      <c r="G33" s="98">
        <f t="shared" si="5"/>
        <v>69984271.668133497</v>
      </c>
      <c r="H33" s="98">
        <f t="shared" si="5"/>
        <v>0</v>
      </c>
      <c r="I33" s="98">
        <f t="shared" si="5"/>
        <v>0</v>
      </c>
      <c r="J33" s="98">
        <f t="shared" si="5"/>
        <v>57016006.298995003</v>
      </c>
      <c r="K33" s="98">
        <f t="shared" si="5"/>
        <v>25400055.593425695</v>
      </c>
      <c r="L33" s="224">
        <f t="shared" si="5"/>
        <v>57016006.298995003</v>
      </c>
      <c r="M33" s="243"/>
      <c r="AD33" s="105"/>
      <c r="AE33" s="93"/>
      <c r="AF33" s="93"/>
      <c r="AG33" s="93"/>
      <c r="AH33" s="93"/>
      <c r="AI33" s="93"/>
      <c r="AJ33" s="93"/>
      <c r="AK33" s="92"/>
    </row>
    <row r="34" spans="1:37">
      <c r="AD34" s="105"/>
      <c r="AE34" s="93"/>
      <c r="AF34" s="93"/>
      <c r="AG34" s="93"/>
      <c r="AH34" s="93"/>
      <c r="AI34" s="93"/>
      <c r="AJ34" s="93"/>
      <c r="AK34" s="92"/>
    </row>
    <row r="35" spans="1:37" ht="15.75">
      <c r="A35" s="100"/>
      <c r="B35" s="100"/>
      <c r="AD35" s="105"/>
      <c r="AE35" s="93"/>
      <c r="AF35" s="93"/>
      <c r="AG35" s="93"/>
      <c r="AH35" s="93"/>
      <c r="AI35" s="93"/>
      <c r="AJ35" s="93"/>
      <c r="AK35" s="92"/>
    </row>
    <row r="36" spans="1:37" ht="15.75">
      <c r="A36" s="101"/>
      <c r="B36" s="101"/>
      <c r="AD36" s="145"/>
      <c r="AE36" s="146"/>
      <c r="AF36" s="146"/>
      <c r="AG36" s="146"/>
      <c r="AH36" s="146"/>
      <c r="AI36" s="146"/>
      <c r="AJ36" s="146"/>
      <c r="AK36" s="147"/>
    </row>
    <row r="37" spans="1:37" ht="15.75">
      <c r="A37" s="73"/>
      <c r="B37" s="148"/>
      <c r="C37" s="149"/>
      <c r="D37" s="149"/>
      <c r="E37" s="149"/>
      <c r="F37" s="138"/>
      <c r="G37" s="138"/>
      <c r="H37" s="138"/>
      <c r="I37" s="138"/>
      <c r="J37" s="138"/>
      <c r="K37" s="138"/>
      <c r="L37" s="138"/>
      <c r="M37" s="238"/>
    </row>
    <row r="38" spans="1:37" ht="15.75">
      <c r="A38" s="73"/>
      <c r="B38" s="150"/>
      <c r="C38" s="151"/>
      <c r="D38" s="151"/>
      <c r="E38" s="151"/>
      <c r="F38" s="78" t="s">
        <v>116</v>
      </c>
      <c r="G38" s="78" t="s">
        <v>117</v>
      </c>
      <c r="H38" s="78" t="s">
        <v>118</v>
      </c>
      <c r="I38" s="78" t="s">
        <v>119</v>
      </c>
      <c r="J38" s="78" t="s">
        <v>120</v>
      </c>
      <c r="K38" s="78" t="s">
        <v>121</v>
      </c>
      <c r="L38" s="78" t="s">
        <v>122</v>
      </c>
      <c r="M38" s="239"/>
    </row>
    <row r="39" spans="1:37" ht="15.75">
      <c r="A39" s="40"/>
      <c r="B39" s="152"/>
      <c r="C39" s="153"/>
      <c r="D39" s="153"/>
      <c r="E39" s="153"/>
      <c r="F39" s="139" t="s">
        <v>123</v>
      </c>
      <c r="G39" s="140"/>
      <c r="H39" s="140"/>
      <c r="I39" s="140"/>
      <c r="J39" s="140"/>
      <c r="K39" s="141"/>
      <c r="L39" s="76"/>
      <c r="M39" s="238"/>
    </row>
    <row r="40" spans="1:37" ht="15.75">
      <c r="A40" s="46"/>
      <c r="B40" s="152"/>
      <c r="C40" s="154"/>
      <c r="D40" s="154"/>
      <c r="E40" s="154"/>
      <c r="F40" s="76" t="s">
        <v>52</v>
      </c>
      <c r="G40" s="76" t="s">
        <v>64</v>
      </c>
      <c r="H40" s="76"/>
      <c r="I40" s="76" t="s">
        <v>52</v>
      </c>
      <c r="J40" s="76" t="s">
        <v>64</v>
      </c>
      <c r="K40" s="76"/>
      <c r="L40" s="83"/>
      <c r="M40" s="238"/>
    </row>
    <row r="41" spans="1:37" ht="15.75">
      <c r="A41" s="46"/>
      <c r="B41" s="152"/>
      <c r="C41" s="154"/>
      <c r="D41" s="154"/>
      <c r="E41" s="154"/>
      <c r="F41" s="83" t="s">
        <v>53</v>
      </c>
      <c r="G41" s="83" t="s">
        <v>53</v>
      </c>
      <c r="H41" s="83" t="s">
        <v>83</v>
      </c>
      <c r="I41" s="83" t="s">
        <v>110</v>
      </c>
      <c r="J41" s="83" t="s">
        <v>110</v>
      </c>
      <c r="K41" s="83" t="s">
        <v>111</v>
      </c>
      <c r="L41" s="83" t="s">
        <v>73</v>
      </c>
      <c r="M41" s="238"/>
    </row>
    <row r="42" spans="1:37" ht="15.75">
      <c r="A42" s="46" t="s">
        <v>3</v>
      </c>
      <c r="B42" s="152"/>
      <c r="C42" s="154"/>
      <c r="D42" s="154"/>
      <c r="E42" s="154"/>
      <c r="F42" s="83" t="s">
        <v>55</v>
      </c>
      <c r="G42" s="83" t="s">
        <v>55</v>
      </c>
      <c r="H42" s="83" t="s">
        <v>82</v>
      </c>
      <c r="I42" s="83" t="s">
        <v>113</v>
      </c>
      <c r="J42" s="83" t="s">
        <v>113</v>
      </c>
      <c r="K42" s="83" t="s">
        <v>114</v>
      </c>
      <c r="L42" s="83" t="s">
        <v>82</v>
      </c>
      <c r="M42" s="238"/>
    </row>
    <row r="43" spans="1:37" ht="15.75">
      <c r="A43" s="87" t="str">
        <f>+A15</f>
        <v>Year</v>
      </c>
      <c r="B43" s="155"/>
      <c r="C43" s="156"/>
      <c r="D43" s="156"/>
      <c r="E43" s="156"/>
      <c r="F43" s="87" t="s">
        <v>60</v>
      </c>
      <c r="G43" s="87" t="s">
        <v>60</v>
      </c>
      <c r="H43" s="87" t="s">
        <v>60</v>
      </c>
      <c r="I43" s="87" t="s">
        <v>60</v>
      </c>
      <c r="J43" s="87" t="s">
        <v>60</v>
      </c>
      <c r="K43" s="87" t="s">
        <v>115</v>
      </c>
      <c r="L43" s="87" t="s">
        <v>34</v>
      </c>
      <c r="M43" s="238"/>
    </row>
    <row r="44" spans="1:37">
      <c r="A44" s="89"/>
      <c r="B44" s="157"/>
      <c r="C44" s="158"/>
      <c r="D44" s="159"/>
      <c r="E44" s="158"/>
      <c r="F44" s="91"/>
      <c r="G44" s="90"/>
      <c r="H44" s="90"/>
      <c r="I44" s="90"/>
      <c r="J44" s="90"/>
      <c r="K44" s="90"/>
      <c r="L44" s="92"/>
      <c r="M44" s="240"/>
    </row>
    <row r="45" spans="1:37" ht="15.75">
      <c r="A45" s="89">
        <f>+A17</f>
        <v>2002</v>
      </c>
      <c r="B45" s="160"/>
      <c r="C45" s="161"/>
      <c r="D45" s="162"/>
      <c r="E45" s="162"/>
      <c r="F45" s="118">
        <f t="shared" ref="F45:L59" si="6">+F17/$B17</f>
        <v>0</v>
      </c>
      <c r="G45" s="118">
        <f t="shared" si="6"/>
        <v>0.60843980431292899</v>
      </c>
      <c r="H45" s="118">
        <f t="shared" si="6"/>
        <v>0</v>
      </c>
      <c r="I45" s="118">
        <f t="shared" si="6"/>
        <v>0</v>
      </c>
      <c r="J45" s="118">
        <f t="shared" si="6"/>
        <v>0.60843980431292899</v>
      </c>
      <c r="K45" s="225">
        <f t="shared" si="6"/>
        <v>0.24337592172517158</v>
      </c>
      <c r="L45" s="226">
        <f t="shared" si="6"/>
        <v>0.60843980431292899</v>
      </c>
      <c r="M45" s="276"/>
    </row>
    <row r="46" spans="1:37" ht="15.75">
      <c r="A46" s="89">
        <f t="shared" ref="A46:A59" si="7">+A18</f>
        <v>2003</v>
      </c>
      <c r="B46" s="160"/>
      <c r="C46" s="161"/>
      <c r="D46" s="162"/>
      <c r="E46" s="162"/>
      <c r="F46" s="118">
        <f t="shared" si="6"/>
        <v>0</v>
      </c>
      <c r="G46" s="118">
        <f t="shared" si="6"/>
        <v>0.50563306632622307</v>
      </c>
      <c r="H46" s="118">
        <f t="shared" si="6"/>
        <v>0</v>
      </c>
      <c r="I46" s="118">
        <f t="shared" si="6"/>
        <v>0</v>
      </c>
      <c r="J46" s="118">
        <f t="shared" si="6"/>
        <v>0.50563306632622307</v>
      </c>
      <c r="K46" s="225">
        <f t="shared" si="6"/>
        <v>0.20225322653048922</v>
      </c>
      <c r="L46" s="226">
        <f t="shared" si="6"/>
        <v>0.50563306632622307</v>
      </c>
      <c r="M46" s="276"/>
    </row>
    <row r="47" spans="1:37" ht="15.75">
      <c r="A47" s="89">
        <f t="shared" si="7"/>
        <v>2004</v>
      </c>
      <c r="B47" s="160"/>
      <c r="C47" s="161"/>
      <c r="D47" s="162"/>
      <c r="E47" s="162"/>
      <c r="F47" s="118">
        <f t="shared" si="6"/>
        <v>0</v>
      </c>
      <c r="G47" s="118">
        <f t="shared" si="6"/>
        <v>0.69456204918989917</v>
      </c>
      <c r="H47" s="118">
        <f t="shared" si="6"/>
        <v>0</v>
      </c>
      <c r="I47" s="118">
        <f t="shared" si="6"/>
        <v>0</v>
      </c>
      <c r="J47" s="118">
        <f t="shared" si="6"/>
        <v>0.69088776238963989</v>
      </c>
      <c r="K47" s="225">
        <f t="shared" si="6"/>
        <v>0.27708996231590777</v>
      </c>
      <c r="L47" s="226">
        <f t="shared" si="6"/>
        <v>0.69088776238963989</v>
      </c>
      <c r="M47" s="276"/>
    </row>
    <row r="48" spans="1:37" ht="15.75">
      <c r="A48" s="89">
        <f t="shared" si="7"/>
        <v>2005</v>
      </c>
      <c r="B48" s="160"/>
      <c r="C48" s="161"/>
      <c r="D48" s="162"/>
      <c r="E48" s="162"/>
      <c r="F48" s="118">
        <f t="shared" si="6"/>
        <v>0</v>
      </c>
      <c r="G48" s="118">
        <f t="shared" si="6"/>
        <v>0.65932505691471743</v>
      </c>
      <c r="H48" s="118">
        <f t="shared" si="6"/>
        <v>0</v>
      </c>
      <c r="I48" s="118">
        <f t="shared" si="6"/>
        <v>0</v>
      </c>
      <c r="J48" s="118">
        <f t="shared" si="6"/>
        <v>0.65179124745785788</v>
      </c>
      <c r="K48" s="225">
        <f t="shared" si="6"/>
        <v>0.26222326087451509</v>
      </c>
      <c r="L48" s="226">
        <f t="shared" si="6"/>
        <v>0.65179124745785788</v>
      </c>
      <c r="M48" s="276"/>
    </row>
    <row r="49" spans="1:13" ht="15.75">
      <c r="A49" s="89">
        <f t="shared" si="7"/>
        <v>2006</v>
      </c>
      <c r="B49" s="160"/>
      <c r="C49" s="161"/>
      <c r="D49" s="162"/>
      <c r="E49" s="162"/>
      <c r="F49" s="118">
        <f t="shared" si="6"/>
        <v>0</v>
      </c>
      <c r="G49" s="118">
        <f t="shared" si="6"/>
        <v>0.61048125099811146</v>
      </c>
      <c r="H49" s="118">
        <f t="shared" si="6"/>
        <v>0</v>
      </c>
      <c r="I49" s="118">
        <f t="shared" si="6"/>
        <v>0</v>
      </c>
      <c r="J49" s="118">
        <f t="shared" si="6"/>
        <v>0.59319690967366623</v>
      </c>
      <c r="K49" s="225">
        <f t="shared" si="6"/>
        <v>0.24073563213435553</v>
      </c>
      <c r="L49" s="226">
        <f t="shared" si="6"/>
        <v>0.59319690967366623</v>
      </c>
      <c r="M49" s="276"/>
    </row>
    <row r="50" spans="1:13" ht="15.75">
      <c r="A50" s="89">
        <f t="shared" si="7"/>
        <v>2007</v>
      </c>
      <c r="B50" s="160"/>
      <c r="C50" s="161"/>
      <c r="D50" s="162"/>
      <c r="E50" s="162"/>
      <c r="F50" s="118">
        <f t="shared" si="6"/>
        <v>0</v>
      </c>
      <c r="G50" s="118">
        <f t="shared" si="6"/>
        <v>0.37823940857603561</v>
      </c>
      <c r="H50" s="118">
        <f t="shared" si="6"/>
        <v>0</v>
      </c>
      <c r="I50" s="118">
        <f t="shared" si="6"/>
        <v>0</v>
      </c>
      <c r="J50" s="118">
        <f t="shared" si="6"/>
        <v>0.34649280850219438</v>
      </c>
      <c r="K50" s="225">
        <f t="shared" si="6"/>
        <v>0.14494644341564603</v>
      </c>
      <c r="L50" s="226">
        <f t="shared" si="6"/>
        <v>0.34649280850219438</v>
      </c>
      <c r="M50" s="276"/>
    </row>
    <row r="51" spans="1:13" ht="15.75">
      <c r="A51" s="89">
        <f t="shared" si="7"/>
        <v>2008</v>
      </c>
      <c r="B51" s="160"/>
      <c r="C51" s="161"/>
      <c r="D51" s="162"/>
      <c r="E51" s="162"/>
      <c r="F51" s="118">
        <f t="shared" si="6"/>
        <v>0</v>
      </c>
      <c r="G51" s="118">
        <f t="shared" si="6"/>
        <v>0.25805356324937195</v>
      </c>
      <c r="H51" s="118">
        <f t="shared" si="6"/>
        <v>0</v>
      </c>
      <c r="I51" s="118">
        <f t="shared" si="6"/>
        <v>0</v>
      </c>
      <c r="J51" s="118">
        <f t="shared" si="6"/>
        <v>0.21985160360467812</v>
      </c>
      <c r="K51" s="225">
        <f t="shared" si="6"/>
        <v>9.5581033370810017E-2</v>
      </c>
      <c r="L51" s="226">
        <f t="shared" si="6"/>
        <v>0.21985160360467812</v>
      </c>
      <c r="M51" s="276"/>
    </row>
    <row r="52" spans="1:13" ht="15.75">
      <c r="A52" s="89">
        <f t="shared" si="7"/>
        <v>2009</v>
      </c>
      <c r="B52" s="160"/>
      <c r="C52" s="161"/>
      <c r="D52" s="162"/>
      <c r="E52" s="162"/>
      <c r="F52" s="118">
        <f t="shared" si="6"/>
        <v>0</v>
      </c>
      <c r="G52" s="118">
        <f t="shared" si="6"/>
        <v>0.28730485663094374</v>
      </c>
      <c r="H52" s="118">
        <f t="shared" si="6"/>
        <v>0</v>
      </c>
      <c r="I52" s="118">
        <f t="shared" si="6"/>
        <v>0</v>
      </c>
      <c r="J52" s="118">
        <f t="shared" si="6"/>
        <v>0.24235753454943479</v>
      </c>
      <c r="K52" s="225">
        <f t="shared" si="6"/>
        <v>0.1059324782360757</v>
      </c>
      <c r="L52" s="226">
        <f t="shared" si="6"/>
        <v>0.24235753454943479</v>
      </c>
      <c r="M52" s="276"/>
    </row>
    <row r="53" spans="1:13" ht="15.75">
      <c r="A53" s="89">
        <f t="shared" si="7"/>
        <v>2010</v>
      </c>
      <c r="B53" s="160"/>
      <c r="C53" s="161"/>
      <c r="D53" s="162"/>
      <c r="E53" s="162"/>
      <c r="F53" s="118">
        <f t="shared" si="6"/>
        <v>0</v>
      </c>
      <c r="G53" s="118">
        <f t="shared" si="6"/>
        <v>0.37537622729568054</v>
      </c>
      <c r="H53" s="118">
        <f t="shared" si="6"/>
        <v>0</v>
      </c>
      <c r="I53" s="118">
        <f t="shared" si="6"/>
        <v>0</v>
      </c>
      <c r="J53" s="118">
        <f t="shared" si="6"/>
        <v>0.31850266878822703</v>
      </c>
      <c r="K53" s="225">
        <f t="shared" si="6"/>
        <v>0.13877577921678153</v>
      </c>
      <c r="L53" s="226">
        <f t="shared" si="6"/>
        <v>0.31850266878822703</v>
      </c>
      <c r="M53" s="276"/>
    </row>
    <row r="54" spans="1:13" ht="15.75">
      <c r="A54" s="89">
        <f t="shared" si="7"/>
        <v>2011</v>
      </c>
      <c r="B54" s="160"/>
      <c r="C54" s="161"/>
      <c r="D54" s="162"/>
      <c r="E54" s="162"/>
      <c r="F54" s="118">
        <f t="shared" si="6"/>
        <v>0</v>
      </c>
      <c r="G54" s="118">
        <f t="shared" si="6"/>
        <v>0.80309797679334061</v>
      </c>
      <c r="H54" s="118">
        <f t="shared" si="6"/>
        <v>0</v>
      </c>
      <c r="I54" s="118">
        <f t="shared" si="6"/>
        <v>0</v>
      </c>
      <c r="J54" s="118">
        <f t="shared" si="6"/>
        <v>0.67054501161305202</v>
      </c>
      <c r="K54" s="225">
        <f t="shared" si="6"/>
        <v>0.29472859768127851</v>
      </c>
      <c r="L54" s="226">
        <f t="shared" si="6"/>
        <v>0.67054501161305202</v>
      </c>
      <c r="M54" s="276"/>
    </row>
    <row r="55" spans="1:13" ht="15.75">
      <c r="A55" s="89">
        <f t="shared" si="7"/>
        <v>2012</v>
      </c>
      <c r="B55" s="160"/>
      <c r="C55" s="161"/>
      <c r="D55" s="162"/>
      <c r="E55" s="162"/>
      <c r="F55" s="118">
        <f t="shared" si="6"/>
        <v>0</v>
      </c>
      <c r="G55" s="118">
        <f t="shared" si="6"/>
        <v>0.62445973779440944</v>
      </c>
      <c r="H55" s="118">
        <f t="shared" si="6"/>
        <v>0</v>
      </c>
      <c r="I55" s="118">
        <f t="shared" si="6"/>
        <v>0</v>
      </c>
      <c r="J55" s="118">
        <f t="shared" si="6"/>
        <v>0.50997930146153414</v>
      </c>
      <c r="K55" s="225">
        <f t="shared" si="6"/>
        <v>0.2268878078511887</v>
      </c>
      <c r="L55" s="226">
        <f t="shared" si="6"/>
        <v>0.50997930146153414</v>
      </c>
      <c r="M55" s="276"/>
    </row>
    <row r="56" spans="1:13" ht="15.75">
      <c r="A56" s="89">
        <f t="shared" si="7"/>
        <v>2013</v>
      </c>
      <c r="B56" s="160"/>
      <c r="C56" s="161"/>
      <c r="D56" s="162"/>
      <c r="E56" s="162"/>
      <c r="F56" s="118">
        <f t="shared" si="6"/>
        <v>0</v>
      </c>
      <c r="G56" s="118">
        <f t="shared" si="6"/>
        <v>0.3633005277119859</v>
      </c>
      <c r="H56" s="118">
        <f t="shared" si="6"/>
        <v>0</v>
      </c>
      <c r="I56" s="118">
        <f t="shared" si="6"/>
        <v>0</v>
      </c>
      <c r="J56" s="118">
        <f t="shared" si="6"/>
        <v>0.27909570503033254</v>
      </c>
      <c r="K56" s="225">
        <f t="shared" si="6"/>
        <v>0.12847924654846368</v>
      </c>
      <c r="L56" s="226">
        <f t="shared" si="6"/>
        <v>0.27909570503033254</v>
      </c>
      <c r="M56" s="276"/>
    </row>
    <row r="57" spans="1:13" ht="15.75">
      <c r="A57" s="89">
        <f t="shared" si="7"/>
        <v>2014</v>
      </c>
      <c r="B57" s="160"/>
      <c r="C57" s="161"/>
      <c r="D57" s="162"/>
      <c r="E57" s="162"/>
      <c r="F57" s="118">
        <f t="shared" si="6"/>
        <v>0</v>
      </c>
      <c r="G57" s="118">
        <f t="shared" si="6"/>
        <v>0.4455110382712395</v>
      </c>
      <c r="H57" s="118">
        <f t="shared" si="6"/>
        <v>0</v>
      </c>
      <c r="I57" s="118">
        <f t="shared" si="6"/>
        <v>0</v>
      </c>
      <c r="J57" s="118">
        <f t="shared" si="6"/>
        <v>0.30134835336319515</v>
      </c>
      <c r="K57" s="225">
        <f t="shared" si="6"/>
        <v>0.14937187832688695</v>
      </c>
      <c r="L57" s="226">
        <f t="shared" si="6"/>
        <v>0.30134835336319515</v>
      </c>
      <c r="M57" s="276"/>
    </row>
    <row r="58" spans="1:13" ht="15.75">
      <c r="A58" s="89">
        <f t="shared" si="7"/>
        <v>2015</v>
      </c>
      <c r="B58" s="160"/>
      <c r="C58" s="161"/>
      <c r="D58" s="162"/>
      <c r="E58" s="162"/>
      <c r="F58" s="118">
        <f t="shared" si="6"/>
        <v>0</v>
      </c>
      <c r="G58" s="118">
        <f t="shared" si="6"/>
        <v>0.43716846176770874</v>
      </c>
      <c r="H58" s="118">
        <f t="shared" si="6"/>
        <v>0</v>
      </c>
      <c r="I58" s="118">
        <f t="shared" si="6"/>
        <v>0</v>
      </c>
      <c r="J58" s="118">
        <f t="shared" si="6"/>
        <v>0.24246805579598421</v>
      </c>
      <c r="K58" s="225">
        <f t="shared" si="6"/>
        <v>0.13592730351273857</v>
      </c>
      <c r="L58" s="226">
        <f t="shared" si="6"/>
        <v>0.24246805579598421</v>
      </c>
      <c r="M58" s="276"/>
    </row>
    <row r="59" spans="1:13" ht="15.75">
      <c r="A59" s="89">
        <f t="shared" si="7"/>
        <v>2016</v>
      </c>
      <c r="B59" s="160"/>
      <c r="C59" s="161"/>
      <c r="D59" s="162"/>
      <c r="E59" s="162"/>
      <c r="F59" s="118">
        <f t="shared" si="6"/>
        <v>0</v>
      </c>
      <c r="G59" s="118">
        <f t="shared" si="6"/>
        <v>0.63171434482613897</v>
      </c>
      <c r="H59" s="118">
        <f t="shared" si="6"/>
        <v>0</v>
      </c>
      <c r="I59" s="118">
        <f t="shared" si="6"/>
        <v>0</v>
      </c>
      <c r="J59" s="118">
        <f t="shared" si="6"/>
        <v>0.23655347092936407</v>
      </c>
      <c r="K59" s="225">
        <f t="shared" si="6"/>
        <v>0.17365356315110062</v>
      </c>
      <c r="L59" s="226">
        <f t="shared" si="6"/>
        <v>0.23655347092936407</v>
      </c>
      <c r="M59" s="276"/>
    </row>
    <row r="60" spans="1:13">
      <c r="A60" s="89"/>
      <c r="B60" s="163"/>
      <c r="C60" s="164"/>
      <c r="D60" s="165"/>
      <c r="E60" s="164"/>
      <c r="F60" s="95"/>
      <c r="G60" s="95"/>
      <c r="H60" s="95"/>
      <c r="I60" s="95"/>
      <c r="J60" s="95"/>
      <c r="K60" s="95"/>
      <c r="L60" s="223"/>
      <c r="M60" s="242"/>
    </row>
    <row r="61" spans="1:13">
      <c r="A61" s="97" t="s">
        <v>63</v>
      </c>
      <c r="B61" s="166"/>
      <c r="C61" s="166"/>
      <c r="D61" s="166"/>
      <c r="E61" s="166"/>
      <c r="F61" s="98"/>
      <c r="G61" s="98"/>
      <c r="H61" s="98"/>
      <c r="I61" s="98"/>
      <c r="J61" s="98"/>
      <c r="K61" s="98"/>
      <c r="L61" s="224"/>
      <c r="M61" s="243"/>
    </row>
  </sheetData>
  <pageMargins left="0.7" right="0.7" top="0.75" bottom="0.75" header="0.3" footer="0.3"/>
  <ignoredErrors>
    <ignoredError sqref="B10:L10 F38:L38" numberStoredAsText="1"/>
  </ignoredError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6600FF"/>
  </sheetPr>
  <dimension ref="A1:G61"/>
  <sheetViews>
    <sheetView showGridLines="0" topLeftCell="H31" workbookViewId="0">
      <selection activeCell="U61" sqref="U61"/>
    </sheetView>
  </sheetViews>
  <sheetFormatPr defaultRowHeight="12.75"/>
  <cols>
    <col min="1" max="1" width="13.42578125" customWidth="1"/>
    <col min="2" max="3" width="15.7109375" bestFit="1" customWidth="1"/>
    <col min="4" max="7" width="20.28515625" customWidth="1"/>
    <col min="8" max="23" width="14.5703125" customWidth="1"/>
  </cols>
  <sheetData>
    <row r="1" spans="1:7" ht="15.75">
      <c r="A1" s="203" t="s">
        <v>0</v>
      </c>
      <c r="B1" s="73"/>
    </row>
    <row r="2" spans="1:7" ht="15.75">
      <c r="A2" s="204" t="str">
        <f>+"Analysis of Loss &amp; DCC Reserves as of "&amp;TEXT(EvalDate,"mm/dd/yyy")</f>
        <v>Analysis of Loss &amp; DCC Reserves as of 12/31/2016</v>
      </c>
      <c r="B2" s="73"/>
    </row>
    <row r="3" spans="1:7" ht="15.75">
      <c r="A3" s="205" t="str">
        <f>+LOB</f>
        <v>Liability</v>
      </c>
      <c r="B3" s="73"/>
    </row>
    <row r="4" spans="1:7" ht="15.75">
      <c r="A4" s="73"/>
    </row>
    <row r="6" spans="1:7" ht="15.75">
      <c r="A6" s="73" t="s">
        <v>131</v>
      </c>
    </row>
    <row r="7" spans="1:7" ht="15.75">
      <c r="A7" s="73"/>
    </row>
    <row r="8" spans="1:7" ht="15.75">
      <c r="A8" s="73"/>
    </row>
    <row r="9" spans="1:7" ht="15.75">
      <c r="A9" s="73"/>
      <c r="B9" s="74"/>
      <c r="C9" s="74"/>
      <c r="D9" s="74"/>
      <c r="E9" s="74"/>
      <c r="F9" s="74"/>
      <c r="G9" s="74"/>
    </row>
    <row r="10" spans="1:7" ht="15.75">
      <c r="A10" s="73"/>
      <c r="B10" s="78" t="s">
        <v>45</v>
      </c>
      <c r="C10" s="79" t="s">
        <v>46</v>
      </c>
      <c r="D10" s="78" t="s">
        <v>47</v>
      </c>
      <c r="E10" s="78" t="s">
        <v>48</v>
      </c>
      <c r="F10" s="79" t="s">
        <v>49</v>
      </c>
      <c r="G10" s="79" t="s">
        <v>50</v>
      </c>
    </row>
    <row r="11" spans="1:7" ht="15.75">
      <c r="A11" s="40"/>
      <c r="B11" s="82"/>
      <c r="C11" s="86"/>
      <c r="D11" s="139" t="str">
        <f>"Indicated Ultimate "&amp;B15</f>
        <v>Indicated Ultimate DCC</v>
      </c>
      <c r="E11" s="140"/>
      <c r="F11" s="141"/>
      <c r="G11" s="76"/>
    </row>
    <row r="12" spans="1:7" ht="15.75">
      <c r="A12" s="46"/>
      <c r="B12" s="86"/>
      <c r="C12" s="86"/>
      <c r="D12" s="76" t="s">
        <v>52</v>
      </c>
      <c r="E12" s="76" t="s">
        <v>96</v>
      </c>
      <c r="F12" s="76"/>
      <c r="G12" s="83"/>
    </row>
    <row r="13" spans="1:7" ht="15.75">
      <c r="A13" s="46"/>
      <c r="B13" s="86"/>
      <c r="C13" s="86" t="s">
        <v>125</v>
      </c>
      <c r="D13" s="83" t="s">
        <v>68</v>
      </c>
      <c r="E13" s="83" t="s">
        <v>68</v>
      </c>
      <c r="F13" s="83" t="s">
        <v>111</v>
      </c>
      <c r="G13" s="83" t="s">
        <v>73</v>
      </c>
    </row>
    <row r="14" spans="1:7" ht="15.75">
      <c r="A14" s="46" t="s">
        <v>3</v>
      </c>
      <c r="B14" s="86" t="s">
        <v>52</v>
      </c>
      <c r="C14" s="86" t="s">
        <v>73</v>
      </c>
      <c r="D14" s="83" t="s">
        <v>55</v>
      </c>
      <c r="E14" s="83" t="s">
        <v>55</v>
      </c>
      <c r="F14" s="83" t="s">
        <v>114</v>
      </c>
      <c r="G14" s="83" t="str">
        <f>B15</f>
        <v>DCC</v>
      </c>
    </row>
    <row r="15" spans="1:7" ht="15.75">
      <c r="A15" s="87" t="s">
        <v>5</v>
      </c>
      <c r="B15" s="88" t="s">
        <v>68</v>
      </c>
      <c r="C15" s="88" t="s">
        <v>53</v>
      </c>
      <c r="D15" s="87" t="s">
        <v>60</v>
      </c>
      <c r="E15" s="87" t="s">
        <v>60</v>
      </c>
      <c r="F15" s="87" t="s">
        <v>115</v>
      </c>
      <c r="G15" s="87" t="s">
        <v>34</v>
      </c>
    </row>
    <row r="16" spans="1:7">
      <c r="A16" s="89"/>
      <c r="B16" s="90"/>
      <c r="C16" s="90"/>
      <c r="D16" s="91"/>
      <c r="E16" s="90"/>
      <c r="F16" s="90"/>
      <c r="G16" s="90"/>
    </row>
    <row r="17" spans="1:7" ht="15.75">
      <c r="A17" s="89">
        <f t="shared" ref="A17:A29" si="0">+A18-1</f>
        <v>2002</v>
      </c>
      <c r="B17" s="111">
        <f>+'Paid DCC Dev'!C17</f>
        <v>719225.924</v>
      </c>
      <c r="C17" s="111">
        <f>+'Exercise 15 - Ult Loss Select'!L17</f>
        <v>4230708.2989949994</v>
      </c>
      <c r="D17" s="111">
        <f>+'Paid DCC Dev'!E17</f>
        <v>719225.924</v>
      </c>
      <c r="E17" s="111">
        <f>+E45*C17</f>
        <v>0</v>
      </c>
      <c r="F17" s="117">
        <f t="shared" ref="F17:F31" si="1">AVERAGE(D17:E17)</f>
        <v>359612.962</v>
      </c>
      <c r="G17" s="222">
        <f>+F17</f>
        <v>359612.962</v>
      </c>
    </row>
    <row r="18" spans="1:7" ht="15.75">
      <c r="A18" s="89">
        <f t="shared" si="0"/>
        <v>2003</v>
      </c>
      <c r="B18" s="111">
        <f>+'Paid DCC Dev'!C18</f>
        <v>858429.76</v>
      </c>
      <c r="C18" s="111">
        <f>+'Exercise 15 - Ult Loss Select'!L18</f>
        <v>3320551.0000000005</v>
      </c>
      <c r="D18" s="111">
        <f>+'Paid DCC Dev'!E18</f>
        <v>858429.76</v>
      </c>
      <c r="E18" s="111">
        <f t="shared" ref="E18:E31" si="2">+E46*C18</f>
        <v>0</v>
      </c>
      <c r="F18" s="117">
        <f t="shared" si="1"/>
        <v>429214.88</v>
      </c>
      <c r="G18" s="222">
        <f t="shared" ref="G18:G31" si="3">+F18</f>
        <v>429214.88</v>
      </c>
    </row>
    <row r="19" spans="1:7" ht="15.75">
      <c r="A19" s="89">
        <f t="shared" si="0"/>
        <v>2004</v>
      </c>
      <c r="B19" s="111">
        <f>+'Paid DCC Dev'!C19</f>
        <v>870449.40640000009</v>
      </c>
      <c r="C19" s="111">
        <f>+'Exercise 15 - Ult Loss Select'!L19</f>
        <v>4622140</v>
      </c>
      <c r="D19" s="111">
        <f>+'Paid DCC Dev'!E19</f>
        <v>872812.15365060233</v>
      </c>
      <c r="E19" s="111">
        <f t="shared" si="2"/>
        <v>0</v>
      </c>
      <c r="F19" s="117">
        <f t="shared" si="1"/>
        <v>436406.07682530116</v>
      </c>
      <c r="G19" s="222">
        <f t="shared" si="3"/>
        <v>436406.07682530116</v>
      </c>
    </row>
    <row r="20" spans="1:7" ht="15.75">
      <c r="A20" s="89">
        <f t="shared" si="0"/>
        <v>2005</v>
      </c>
      <c r="B20" s="111">
        <f>+'Paid DCC Dev'!C20</f>
        <v>996751.77280000004</v>
      </c>
      <c r="C20" s="111">
        <f>+'Exercise 15 - Ult Loss Select'!L20</f>
        <v>4629843.9999999991</v>
      </c>
      <c r="D20" s="111">
        <f>+'Paid DCC Dev'!E20</f>
        <v>1005121.9061990433</v>
      </c>
      <c r="E20" s="111">
        <f t="shared" si="2"/>
        <v>0</v>
      </c>
      <c r="F20" s="117">
        <f t="shared" si="1"/>
        <v>502560.95309952163</v>
      </c>
      <c r="G20" s="222">
        <f t="shared" si="3"/>
        <v>502560.95309952163</v>
      </c>
    </row>
    <row r="21" spans="1:7" ht="15.75">
      <c r="A21" s="89">
        <f t="shared" si="0"/>
        <v>2006</v>
      </c>
      <c r="B21" s="111">
        <f>+'Paid DCC Dev'!C21</f>
        <v>959816.16480000014</v>
      </c>
      <c r="C21" s="111">
        <f>+'Exercise 15 - Ult Loss Select'!L21</f>
        <v>4721272</v>
      </c>
      <c r="D21" s="111">
        <f>+'Paid DCC Dev'!E21</f>
        <v>974740.11826757889</v>
      </c>
      <c r="E21" s="111">
        <f t="shared" si="2"/>
        <v>0</v>
      </c>
      <c r="F21" s="117">
        <f t="shared" si="1"/>
        <v>487370.05913378944</v>
      </c>
      <c r="G21" s="222">
        <f t="shared" si="3"/>
        <v>487370.05913378944</v>
      </c>
    </row>
    <row r="22" spans="1:7" ht="15.75">
      <c r="A22" s="89">
        <f t="shared" si="0"/>
        <v>2007</v>
      </c>
      <c r="B22" s="111">
        <f>+'Paid DCC Dev'!C22</f>
        <v>1216164.3153659999</v>
      </c>
      <c r="C22" s="111">
        <f>+'Exercise 15 - Ult Loss Select'!L22</f>
        <v>3244357</v>
      </c>
      <c r="D22" s="111">
        <f>+'Paid DCC Dev'!E22</f>
        <v>1242924.1534137612</v>
      </c>
      <c r="E22" s="111">
        <f t="shared" si="2"/>
        <v>0</v>
      </c>
      <c r="F22" s="117">
        <f t="shared" si="1"/>
        <v>621462.07670688059</v>
      </c>
      <c r="G22" s="222">
        <f t="shared" si="3"/>
        <v>621462.07670688059</v>
      </c>
    </row>
    <row r="23" spans="1:7" ht="15.75">
      <c r="A23" s="89">
        <f t="shared" si="0"/>
        <v>2008</v>
      </c>
      <c r="B23" s="111">
        <f>+'Paid DCC Dev'!C23</f>
        <v>1290836.1432528</v>
      </c>
      <c r="C23" s="111">
        <f>+'Exercise 15 - Ult Loss Select'!L23</f>
        <v>2329891</v>
      </c>
      <c r="D23" s="111">
        <f>+'Paid DCC Dev'!E23</f>
        <v>1330541.5974552578</v>
      </c>
      <c r="E23" s="111">
        <f t="shared" si="2"/>
        <v>0</v>
      </c>
      <c r="F23" s="117">
        <f t="shared" si="1"/>
        <v>665270.79872762889</v>
      </c>
      <c r="G23" s="222">
        <f t="shared" si="3"/>
        <v>665270.79872762889</v>
      </c>
    </row>
    <row r="24" spans="1:7" ht="15.75">
      <c r="A24" s="89">
        <f t="shared" si="0"/>
        <v>2009</v>
      </c>
      <c r="B24" s="111">
        <f>+'Paid DCC Dev'!C24</f>
        <v>1126514.1681000001</v>
      </c>
      <c r="C24" s="111">
        <f>+'Exercise 15 - Ult Loss Select'!L24</f>
        <v>2674745</v>
      </c>
      <c r="D24" s="111">
        <f>+'Paid DCC Dev'!E24</f>
        <v>1174595.6276155687</v>
      </c>
      <c r="E24" s="111">
        <f t="shared" si="2"/>
        <v>0</v>
      </c>
      <c r="F24" s="117">
        <f t="shared" si="1"/>
        <v>587297.81380778435</v>
      </c>
      <c r="G24" s="222">
        <f t="shared" si="3"/>
        <v>587297.81380778435</v>
      </c>
    </row>
    <row r="25" spans="1:7" ht="15.75">
      <c r="A25" s="89">
        <f t="shared" si="0"/>
        <v>2010</v>
      </c>
      <c r="B25" s="111">
        <f>+'Paid DCC Dev'!C25</f>
        <v>1054094.2344</v>
      </c>
      <c r="C25" s="111">
        <f>+'Exercise 15 - Ult Loss Select'!L25</f>
        <v>3631863</v>
      </c>
      <c r="D25" s="111">
        <f>+'Paid DCC Dev'!E25</f>
        <v>1114762.5870195278</v>
      </c>
      <c r="E25" s="111">
        <f t="shared" si="2"/>
        <v>0</v>
      </c>
      <c r="F25" s="117">
        <f t="shared" si="1"/>
        <v>557381.2935097639</v>
      </c>
      <c r="G25" s="222">
        <f t="shared" si="3"/>
        <v>557381.2935097639</v>
      </c>
    </row>
    <row r="26" spans="1:7" ht="15.75">
      <c r="A26" s="89">
        <f t="shared" si="0"/>
        <v>2011</v>
      </c>
      <c r="B26" s="111">
        <f>+'Paid DCC Dev'!C26</f>
        <v>1105067.26596</v>
      </c>
      <c r="C26" s="111">
        <f>+'Exercise 15 - Ult Loss Select'!L26</f>
        <v>7442768</v>
      </c>
      <c r="D26" s="111">
        <f>+'Paid DCC Dev'!E26</f>
        <v>1201138.4859896922</v>
      </c>
      <c r="E26" s="111">
        <f t="shared" si="2"/>
        <v>0</v>
      </c>
      <c r="F26" s="117">
        <f t="shared" si="1"/>
        <v>600569.24299484608</v>
      </c>
      <c r="G26" s="222">
        <f t="shared" si="3"/>
        <v>600569.24299484608</v>
      </c>
    </row>
    <row r="27" spans="1:7" ht="15.75">
      <c r="A27" s="89">
        <f t="shared" si="0"/>
        <v>2012</v>
      </c>
      <c r="B27" s="111">
        <f>+'Paid DCC Dev'!C27</f>
        <v>1044548.2749239999</v>
      </c>
      <c r="C27" s="111">
        <f>+'Exercise 15 - Ult Loss Select'!L27</f>
        <v>5448294</v>
      </c>
      <c r="D27" s="111">
        <f>+'Paid DCC Dev'!E27</f>
        <v>1170247.8057118864</v>
      </c>
      <c r="E27" s="111">
        <f t="shared" si="2"/>
        <v>0</v>
      </c>
      <c r="F27" s="117">
        <f t="shared" si="1"/>
        <v>585123.90285594319</v>
      </c>
      <c r="G27" s="222">
        <f t="shared" si="3"/>
        <v>585123.90285594319</v>
      </c>
    </row>
    <row r="28" spans="1:7" ht="15.75">
      <c r="A28" s="89">
        <f t="shared" si="0"/>
        <v>2013</v>
      </c>
      <c r="B28" s="111">
        <f>+'Paid DCC Dev'!C28</f>
        <v>735634.60624333331</v>
      </c>
      <c r="C28" s="111">
        <f>+'Exercise 15 - Ult Loss Select'!L28</f>
        <v>2911031</v>
      </c>
      <c r="D28" s="111">
        <f>+'Paid DCC Dev'!E28</f>
        <v>1062703.7060938415</v>
      </c>
      <c r="E28" s="111">
        <f t="shared" si="2"/>
        <v>0</v>
      </c>
      <c r="F28" s="117">
        <f t="shared" si="1"/>
        <v>531351.85304692073</v>
      </c>
      <c r="G28" s="222">
        <f t="shared" si="3"/>
        <v>531351.85304692073</v>
      </c>
    </row>
    <row r="29" spans="1:7" ht="15.75">
      <c r="A29" s="89">
        <f t="shared" si="0"/>
        <v>2014</v>
      </c>
      <c r="B29" s="111">
        <f>+'Paid DCC Dev'!C29</f>
        <v>554805.76684852201</v>
      </c>
      <c r="C29" s="111">
        <f>+'Exercise 15 - Ult Loss Select'!L29</f>
        <v>3045525</v>
      </c>
      <c r="D29" s="111">
        <f>+'Paid DCC Dev'!E29</f>
        <v>1637474.3475248041</v>
      </c>
      <c r="E29" s="111">
        <f t="shared" si="2"/>
        <v>0</v>
      </c>
      <c r="F29" s="117">
        <f t="shared" si="1"/>
        <v>818737.17376240203</v>
      </c>
      <c r="G29" s="222">
        <f t="shared" si="3"/>
        <v>818737.17376240203</v>
      </c>
    </row>
    <row r="30" spans="1:7" ht="15.75">
      <c r="A30" s="89">
        <f>+A31-1</f>
        <v>2015</v>
      </c>
      <c r="B30" s="111">
        <f>+'Paid DCC Dev'!C30</f>
        <v>116870.20512984773</v>
      </c>
      <c r="C30" s="111">
        <f>+'Exercise 15 - Ult Loss Select'!L30</f>
        <v>2397947</v>
      </c>
      <c r="D30" s="111">
        <f>+'Paid DCC Dev'!E30</f>
        <v>1208847.6710102835</v>
      </c>
      <c r="E30" s="111">
        <f t="shared" si="2"/>
        <v>0</v>
      </c>
      <c r="F30" s="117">
        <f t="shared" si="1"/>
        <v>604423.83550514176</v>
      </c>
      <c r="G30" s="222">
        <f t="shared" si="3"/>
        <v>604423.83550514176</v>
      </c>
    </row>
    <row r="31" spans="1:7" ht="15.75">
      <c r="A31" s="89">
        <f>+EndYear</f>
        <v>2016</v>
      </c>
      <c r="B31" s="111">
        <f>+'Paid DCC Dev'!C31</f>
        <v>45499.605052101098</v>
      </c>
      <c r="C31" s="111">
        <f>+'Exercise 15 - Ult Loss Select'!L31</f>
        <v>2365070</v>
      </c>
      <c r="D31" s="111">
        <f>+'Paid DCC Dev'!E31</f>
        <v>1677126.301568127</v>
      </c>
      <c r="E31" s="111">
        <f t="shared" si="2"/>
        <v>0</v>
      </c>
      <c r="F31" s="117">
        <f t="shared" si="1"/>
        <v>838563.1507840635</v>
      </c>
      <c r="G31" s="222">
        <f t="shared" si="3"/>
        <v>838563.1507840635</v>
      </c>
    </row>
    <row r="32" spans="1:7">
      <c r="A32" s="89"/>
      <c r="B32" s="95"/>
      <c r="C32" s="95"/>
      <c r="D32" s="95"/>
      <c r="E32" s="95"/>
      <c r="F32" s="95"/>
      <c r="G32" s="95"/>
    </row>
    <row r="33" spans="1:7">
      <c r="A33" s="97" t="s">
        <v>63</v>
      </c>
      <c r="B33" s="98">
        <f t="shared" ref="B33:G33" si="4">SUM(B16:B32)</f>
        <v>12694707.613276603</v>
      </c>
      <c r="C33" s="98">
        <f t="shared" si="4"/>
        <v>57016006.298995003</v>
      </c>
      <c r="D33" s="98">
        <f t="shared" si="4"/>
        <v>17250692.145519972</v>
      </c>
      <c r="E33" s="98">
        <f t="shared" si="4"/>
        <v>0</v>
      </c>
      <c r="F33" s="98">
        <f t="shared" si="4"/>
        <v>8625346.0727599859</v>
      </c>
      <c r="G33" s="98">
        <f t="shared" si="4"/>
        <v>8625346.0727599859</v>
      </c>
    </row>
    <row r="35" spans="1:7" ht="15.75">
      <c r="A35" s="100"/>
    </row>
    <row r="36" spans="1:7" ht="15.75">
      <c r="A36" s="101"/>
    </row>
    <row r="37" spans="1:7" ht="15.75">
      <c r="A37" s="73"/>
      <c r="B37" s="149"/>
      <c r="C37" s="149"/>
      <c r="D37" s="138"/>
      <c r="E37" s="138"/>
      <c r="F37" s="138"/>
      <c r="G37" s="138"/>
    </row>
    <row r="38" spans="1:7" ht="15.75">
      <c r="A38" s="73"/>
      <c r="B38" s="151"/>
      <c r="C38" s="150"/>
      <c r="D38" s="78" t="s">
        <v>51</v>
      </c>
      <c r="E38" s="78" t="s">
        <v>87</v>
      </c>
      <c r="F38" s="78" t="s">
        <v>104</v>
      </c>
      <c r="G38" s="78" t="s">
        <v>105</v>
      </c>
    </row>
    <row r="39" spans="1:7" ht="15.75">
      <c r="A39" s="40"/>
      <c r="B39" s="153"/>
      <c r="C39" s="154"/>
      <c r="D39" s="139" t="s">
        <v>132</v>
      </c>
      <c r="E39" s="140"/>
      <c r="F39" s="141"/>
      <c r="G39" s="76"/>
    </row>
    <row r="40" spans="1:7" ht="15.75">
      <c r="A40" s="46"/>
      <c r="B40" s="154"/>
      <c r="C40" s="154"/>
      <c r="D40" s="76" t="s">
        <v>52</v>
      </c>
      <c r="E40" s="76" t="s">
        <v>96</v>
      </c>
      <c r="F40" s="76"/>
      <c r="G40" s="83"/>
    </row>
    <row r="41" spans="1:7" ht="15.75">
      <c r="A41" s="46"/>
      <c r="B41" s="154"/>
      <c r="C41" s="154"/>
      <c r="D41" s="83" t="s">
        <v>68</v>
      </c>
      <c r="E41" s="83" t="s">
        <v>68</v>
      </c>
      <c r="F41" s="83" t="s">
        <v>111</v>
      </c>
      <c r="G41" s="83" t="s">
        <v>73</v>
      </c>
    </row>
    <row r="42" spans="1:7" ht="15.75">
      <c r="A42" s="46" t="s">
        <v>3</v>
      </c>
      <c r="B42" s="154"/>
      <c r="C42" s="154"/>
      <c r="D42" s="83" t="s">
        <v>55</v>
      </c>
      <c r="E42" s="83" t="s">
        <v>55</v>
      </c>
      <c r="F42" s="83" t="s">
        <v>114</v>
      </c>
      <c r="G42" s="83" t="s">
        <v>97</v>
      </c>
    </row>
    <row r="43" spans="1:7" ht="15.75">
      <c r="A43" s="87" t="str">
        <f>+A15</f>
        <v>Year</v>
      </c>
      <c r="B43" s="156"/>
      <c r="C43" s="227"/>
      <c r="D43" s="87" t="s">
        <v>60</v>
      </c>
      <c r="E43" s="87" t="s">
        <v>60</v>
      </c>
      <c r="F43" s="87" t="s">
        <v>115</v>
      </c>
      <c r="G43" s="87" t="s">
        <v>34</v>
      </c>
    </row>
    <row r="44" spans="1:7">
      <c r="A44" s="89"/>
      <c r="B44" s="158"/>
      <c r="C44" s="158"/>
      <c r="D44" s="91"/>
      <c r="E44" s="90"/>
      <c r="F44" s="90"/>
      <c r="G44" s="92"/>
    </row>
    <row r="45" spans="1:7">
      <c r="A45" s="89">
        <f>+A17</f>
        <v>2002</v>
      </c>
      <c r="B45" s="161"/>
      <c r="C45" s="161"/>
      <c r="D45" s="118">
        <f>+IF($C17=0,0,D17/$C17)</f>
        <v>0.17000130313187781</v>
      </c>
      <c r="E45" s="118">
        <f>+'Exercise 13 - Pd to Pd Dev'!E15</f>
        <v>0</v>
      </c>
      <c r="F45" s="225">
        <f>+F17/C17</f>
        <v>8.5000651565938903E-2</v>
      </c>
      <c r="G45" s="118">
        <f>+IF($C17=0,0,G17/$C17)</f>
        <v>8.5000651565938903E-2</v>
      </c>
    </row>
    <row r="46" spans="1:7">
      <c r="A46" s="89">
        <f t="shared" ref="A46:A59" si="5">+A18</f>
        <v>2003</v>
      </c>
      <c r="B46" s="161"/>
      <c r="C46" s="161"/>
      <c r="D46" s="118">
        <f t="shared" ref="D46:D59" si="6">+IF($C18=0,0,D18/$C18)</f>
        <v>0.25852027570123148</v>
      </c>
      <c r="E46" s="118">
        <f>+'Exercise 13 - Pd to Pd Dev'!E16</f>
        <v>0</v>
      </c>
      <c r="F46" s="225">
        <f t="shared" ref="F46:F59" si="7">+F18/C18</f>
        <v>0.12926013785061574</v>
      </c>
      <c r="G46" s="118">
        <f t="shared" ref="G46:G59" si="8">+IF($C18=0,0,G18/$C18)</f>
        <v>0.12926013785061574</v>
      </c>
    </row>
    <row r="47" spans="1:7">
      <c r="A47" s="89">
        <f t="shared" si="5"/>
        <v>2004</v>
      </c>
      <c r="B47" s="161"/>
      <c r="C47" s="161"/>
      <c r="D47" s="118">
        <f t="shared" si="6"/>
        <v>0.18883291151946985</v>
      </c>
      <c r="E47" s="118">
        <f>+'Exercise 13 - Pd to Pd Dev'!E17</f>
        <v>0</v>
      </c>
      <c r="F47" s="225">
        <f t="shared" si="7"/>
        <v>9.4416455759734924E-2</v>
      </c>
      <c r="G47" s="118">
        <f t="shared" si="8"/>
        <v>9.4416455759734924E-2</v>
      </c>
    </row>
    <row r="48" spans="1:7">
      <c r="A48" s="89">
        <f t="shared" si="5"/>
        <v>2005</v>
      </c>
      <c r="B48" s="161"/>
      <c r="C48" s="161"/>
      <c r="D48" s="118">
        <f t="shared" si="6"/>
        <v>0.21709627931287609</v>
      </c>
      <c r="E48" s="118">
        <f>+'Exercise 13 - Pd to Pd Dev'!E18</f>
        <v>0</v>
      </c>
      <c r="F48" s="225">
        <f t="shared" si="7"/>
        <v>0.10854813965643804</v>
      </c>
      <c r="G48" s="118">
        <f t="shared" si="8"/>
        <v>0.10854813965643804</v>
      </c>
    </row>
    <row r="49" spans="1:7">
      <c r="A49" s="89">
        <f t="shared" si="5"/>
        <v>2006</v>
      </c>
      <c r="B49" s="161"/>
      <c r="C49" s="161"/>
      <c r="D49" s="118">
        <f t="shared" si="6"/>
        <v>0.20645709848269256</v>
      </c>
      <c r="E49" s="118">
        <f>+'Exercise 13 - Pd to Pd Dev'!E19</f>
        <v>0</v>
      </c>
      <c r="F49" s="225">
        <f t="shared" si="7"/>
        <v>0.10322854924134628</v>
      </c>
      <c r="G49" s="118">
        <f t="shared" si="8"/>
        <v>0.10322854924134628</v>
      </c>
    </row>
    <row r="50" spans="1:7">
      <c r="A50" s="89">
        <f t="shared" si="5"/>
        <v>2007</v>
      </c>
      <c r="B50" s="161"/>
      <c r="C50" s="161"/>
      <c r="D50" s="118">
        <f t="shared" si="6"/>
        <v>0.38310338640715591</v>
      </c>
      <c r="E50" s="118">
        <f>+'Exercise 13 - Pd to Pd Dev'!E20</f>
        <v>0</v>
      </c>
      <c r="F50" s="225">
        <f t="shared" si="7"/>
        <v>0.19155169320357796</v>
      </c>
      <c r="G50" s="118">
        <f t="shared" si="8"/>
        <v>0.19155169320357796</v>
      </c>
    </row>
    <row r="51" spans="1:7">
      <c r="A51" s="89">
        <f t="shared" si="5"/>
        <v>2008</v>
      </c>
      <c r="B51" s="161"/>
      <c r="C51" s="161"/>
      <c r="D51" s="118">
        <f t="shared" si="6"/>
        <v>0.57107461141111659</v>
      </c>
      <c r="E51" s="118">
        <f>+'Exercise 13 - Pd to Pd Dev'!E21</f>
        <v>0</v>
      </c>
      <c r="F51" s="225">
        <f t="shared" si="7"/>
        <v>0.2855373057055583</v>
      </c>
      <c r="G51" s="118">
        <f t="shared" si="8"/>
        <v>0.2855373057055583</v>
      </c>
    </row>
    <row r="52" spans="1:7">
      <c r="A52" s="89">
        <f t="shared" si="5"/>
        <v>2009</v>
      </c>
      <c r="B52" s="161"/>
      <c r="C52" s="161"/>
      <c r="D52" s="118">
        <f t="shared" si="6"/>
        <v>0.4391430314349849</v>
      </c>
      <c r="E52" s="118">
        <f>+'Exercise 13 - Pd to Pd Dev'!E22</f>
        <v>0</v>
      </c>
      <c r="F52" s="225">
        <f t="shared" si="7"/>
        <v>0.21957151571749245</v>
      </c>
      <c r="G52" s="118">
        <f t="shared" si="8"/>
        <v>0.21957151571749245</v>
      </c>
    </row>
    <row r="53" spans="1:7">
      <c r="A53" s="89">
        <f t="shared" si="5"/>
        <v>2010</v>
      </c>
      <c r="B53" s="161"/>
      <c r="C53" s="161"/>
      <c r="D53" s="118">
        <f t="shared" si="6"/>
        <v>0.30693960290339362</v>
      </c>
      <c r="E53" s="118">
        <f>+'Exercise 13 - Pd to Pd Dev'!E23</f>
        <v>0</v>
      </c>
      <c r="F53" s="225">
        <f t="shared" si="7"/>
        <v>0.15346980145169681</v>
      </c>
      <c r="G53" s="118">
        <f t="shared" si="8"/>
        <v>0.15346980145169681</v>
      </c>
    </row>
    <row r="54" spans="1:7">
      <c r="A54" s="89">
        <f t="shared" si="5"/>
        <v>2011</v>
      </c>
      <c r="B54" s="161"/>
      <c r="C54" s="161"/>
      <c r="D54" s="118">
        <f t="shared" si="6"/>
        <v>0.16138330336102</v>
      </c>
      <c r="E54" s="118">
        <f>+'Exercise 13 - Pd to Pd Dev'!E24</f>
        <v>0</v>
      </c>
      <c r="F54" s="225">
        <f t="shared" si="7"/>
        <v>8.0691651680509999E-2</v>
      </c>
      <c r="G54" s="118">
        <f t="shared" si="8"/>
        <v>8.0691651680509999E-2</v>
      </c>
    </row>
    <row r="55" spans="1:7">
      <c r="A55" s="89">
        <f t="shared" si="5"/>
        <v>2012</v>
      </c>
      <c r="B55" s="161"/>
      <c r="C55" s="161"/>
      <c r="D55" s="118">
        <f t="shared" si="6"/>
        <v>0.21479160370418454</v>
      </c>
      <c r="E55" s="118">
        <f>+'Exercise 13 - Pd to Pd Dev'!E25</f>
        <v>0</v>
      </c>
      <c r="F55" s="225">
        <f t="shared" si="7"/>
        <v>0.10739580185209227</v>
      </c>
      <c r="G55" s="118">
        <f t="shared" si="8"/>
        <v>0.10739580185209227</v>
      </c>
    </row>
    <row r="56" spans="1:7">
      <c r="A56" s="89">
        <f t="shared" si="5"/>
        <v>2013</v>
      </c>
      <c r="B56" s="161"/>
      <c r="C56" s="161"/>
      <c r="D56" s="118">
        <f t="shared" si="6"/>
        <v>0.36506093754887581</v>
      </c>
      <c r="E56" s="118">
        <f>+'Exercise 13 - Pd to Pd Dev'!E26</f>
        <v>0</v>
      </c>
      <c r="F56" s="225">
        <f t="shared" si="7"/>
        <v>0.1825304687744379</v>
      </c>
      <c r="G56" s="118">
        <f t="shared" si="8"/>
        <v>0.1825304687744379</v>
      </c>
    </row>
    <row r="57" spans="1:7">
      <c r="A57" s="89">
        <f t="shared" si="5"/>
        <v>2014</v>
      </c>
      <c r="B57" s="161"/>
      <c r="C57" s="161"/>
      <c r="D57" s="118">
        <f t="shared" si="6"/>
        <v>0.5376657054283922</v>
      </c>
      <c r="E57" s="118">
        <f>+'Exercise 13 - Pd to Pd Dev'!E27</f>
        <v>0</v>
      </c>
      <c r="F57" s="225">
        <f t="shared" si="7"/>
        <v>0.2688328527141961</v>
      </c>
      <c r="G57" s="118">
        <f t="shared" si="8"/>
        <v>0.2688328527141961</v>
      </c>
    </row>
    <row r="58" spans="1:7">
      <c r="A58" s="89">
        <f t="shared" si="5"/>
        <v>2015</v>
      </c>
      <c r="B58" s="161"/>
      <c r="C58" s="161"/>
      <c r="D58" s="118">
        <f t="shared" si="6"/>
        <v>0.50411776032176003</v>
      </c>
      <c r="E58" s="118">
        <f>+'Exercise 13 - Pd to Pd Dev'!E28</f>
        <v>0</v>
      </c>
      <c r="F58" s="225">
        <f t="shared" si="7"/>
        <v>0.25205888016088002</v>
      </c>
      <c r="G58" s="118">
        <f t="shared" si="8"/>
        <v>0.25205888016088002</v>
      </c>
    </row>
    <row r="59" spans="1:7">
      <c r="A59" s="89">
        <f t="shared" si="5"/>
        <v>2016</v>
      </c>
      <c r="B59" s="161"/>
      <c r="C59" s="161"/>
      <c r="D59" s="118">
        <f t="shared" si="6"/>
        <v>0.70912332470841333</v>
      </c>
      <c r="E59" s="118">
        <f>+'Exercise 13 - Pd to Pd Dev'!E29</f>
        <v>0</v>
      </c>
      <c r="F59" s="225">
        <f t="shared" si="7"/>
        <v>0.35456166235420666</v>
      </c>
      <c r="G59" s="118">
        <f t="shared" si="8"/>
        <v>0.35456166235420666</v>
      </c>
    </row>
    <row r="60" spans="1:7">
      <c r="A60" s="89"/>
      <c r="B60" s="164"/>
      <c r="C60" s="164"/>
      <c r="D60" s="95"/>
      <c r="E60" s="95"/>
      <c r="F60" s="95"/>
      <c r="G60" s="96"/>
    </row>
    <row r="61" spans="1:7">
      <c r="A61" s="97" t="s">
        <v>63</v>
      </c>
      <c r="B61" s="166"/>
      <c r="C61" s="166"/>
      <c r="D61" s="98"/>
      <c r="E61" s="98"/>
      <c r="F61" s="98"/>
      <c r="G61" s="9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E126"/>
  <sheetViews>
    <sheetView workbookViewId="0">
      <selection activeCell="I64" sqref="I64"/>
    </sheetView>
  </sheetViews>
  <sheetFormatPr defaultColWidth="10" defaultRowHeight="15"/>
  <cols>
    <col min="1" max="1" width="13.5703125" style="45" customWidth="1"/>
    <col min="2" max="16" width="18.42578125" style="37" customWidth="1"/>
    <col min="17" max="18" width="10" style="37"/>
    <col min="19" max="19" width="12.140625" style="37" customWidth="1"/>
    <col min="20" max="20" width="11" style="37" customWidth="1"/>
    <col min="21" max="16384" width="10" style="37"/>
  </cols>
  <sheetData>
    <row r="1" spans="1:17" ht="15.75">
      <c r="A1" s="203" t="s">
        <v>0</v>
      </c>
    </row>
    <row r="2" spans="1:17" ht="15.75">
      <c r="A2" s="204" t="str">
        <f>+"Analysis of Loss &amp; DCC Reserves as of "&amp;TEXT(EvalDate,"mm/dd/yyy")</f>
        <v>Analysis of Loss &amp; DCC Reserves as of 12/31/2016</v>
      </c>
      <c r="B2" s="63"/>
      <c r="C2" s="63"/>
    </row>
    <row r="3" spans="1:17" ht="15.75">
      <c r="A3" s="205" t="str">
        <f>+LOB</f>
        <v>Liability</v>
      </c>
    </row>
    <row r="4" spans="1:17">
      <c r="A4" s="38"/>
      <c r="E4" s="39"/>
    </row>
    <row r="6" spans="1:17">
      <c r="A6" s="38" t="s">
        <v>39</v>
      </c>
    </row>
    <row r="8" spans="1:17">
      <c r="A8" s="38"/>
    </row>
    <row r="9" spans="1:17">
      <c r="A9" s="38"/>
    </row>
    <row r="10" spans="1:17">
      <c r="A10" s="40" t="str">
        <f>'[1]Exercise 6 - Paid-Ldfs'!$A$10</f>
        <v>Accident</v>
      </c>
      <c r="B10" s="41" t="s">
        <v>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</row>
    <row r="11" spans="1:17" s="45" customFormat="1">
      <c r="A11" s="43" t="s">
        <v>5</v>
      </c>
      <c r="B11" s="44">
        <f>+FirstMonth</f>
        <v>12</v>
      </c>
      <c r="C11" s="44">
        <f t="shared" ref="C11:P11" si="0">B11+12</f>
        <v>24</v>
      </c>
      <c r="D11" s="44">
        <f t="shared" si="0"/>
        <v>36</v>
      </c>
      <c r="E11" s="44">
        <f t="shared" si="0"/>
        <v>48</v>
      </c>
      <c r="F11" s="44">
        <f t="shared" si="0"/>
        <v>60</v>
      </c>
      <c r="G11" s="44">
        <f t="shared" si="0"/>
        <v>72</v>
      </c>
      <c r="H11" s="44">
        <f t="shared" si="0"/>
        <v>84</v>
      </c>
      <c r="I11" s="44">
        <f t="shared" si="0"/>
        <v>96</v>
      </c>
      <c r="J11" s="44">
        <f t="shared" si="0"/>
        <v>108</v>
      </c>
      <c r="K11" s="44">
        <f t="shared" si="0"/>
        <v>120</v>
      </c>
      <c r="L11" s="44">
        <f t="shared" si="0"/>
        <v>132</v>
      </c>
      <c r="M11" s="44">
        <f t="shared" si="0"/>
        <v>144</v>
      </c>
      <c r="N11" s="44">
        <f t="shared" si="0"/>
        <v>156</v>
      </c>
      <c r="O11" s="44">
        <f t="shared" si="0"/>
        <v>168</v>
      </c>
      <c r="P11" s="44">
        <f t="shared" si="0"/>
        <v>180</v>
      </c>
    </row>
    <row r="12" spans="1:17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</row>
    <row r="13" spans="1:17">
      <c r="A13" s="49">
        <f t="shared" ref="A13:A25" si="1">+A14-1</f>
        <v>2002</v>
      </c>
      <c r="B13" s="50">
        <v>2176508.0866666669</v>
      </c>
      <c r="C13" s="50">
        <v>3182043.0066666673</v>
      </c>
      <c r="D13" s="50">
        <v>3363500.9966666666</v>
      </c>
      <c r="E13" s="50">
        <v>3407157.9833333339</v>
      </c>
      <c r="F13" s="50">
        <v>3555411.4933333336</v>
      </c>
      <c r="G13" s="50">
        <v>3479625.69</v>
      </c>
      <c r="H13" s="50">
        <v>3440313.3333333335</v>
      </c>
      <c r="I13" s="50">
        <v>3422032.6666666665</v>
      </c>
      <c r="J13" s="50">
        <v>3486001.6666666665</v>
      </c>
      <c r="K13" s="50">
        <v>3853777.3333333335</v>
      </c>
      <c r="L13" s="50">
        <v>4100846</v>
      </c>
      <c r="M13" s="50">
        <v>4172111</v>
      </c>
      <c r="N13" s="50">
        <v>4192971.5549999997</v>
      </c>
      <c r="O13" s="50">
        <v>4230708.2989949994</v>
      </c>
      <c r="P13" s="50">
        <v>4230708.2989949994</v>
      </c>
      <c r="Q13" s="48"/>
    </row>
    <row r="14" spans="1:17">
      <c r="A14" s="49">
        <f t="shared" si="1"/>
        <v>2003</v>
      </c>
      <c r="B14" s="50">
        <v>1789591.23</v>
      </c>
      <c r="C14" s="50">
        <v>2969424.85</v>
      </c>
      <c r="D14" s="50">
        <v>3184273.9800000004</v>
      </c>
      <c r="E14" s="50">
        <v>3011119.0000000005</v>
      </c>
      <c r="F14" s="50">
        <v>3003970.0000000005</v>
      </c>
      <c r="G14" s="50">
        <v>2910211.0000000005</v>
      </c>
      <c r="H14" s="50">
        <v>2920236.0000000005</v>
      </c>
      <c r="I14" s="50">
        <v>2966571.0000000005</v>
      </c>
      <c r="J14" s="50">
        <v>2980922.0000000005</v>
      </c>
      <c r="K14" s="50">
        <v>3004485.0000000005</v>
      </c>
      <c r="L14" s="50">
        <v>3075350.0000000005</v>
      </c>
      <c r="M14" s="50">
        <v>3294350.0000000005</v>
      </c>
      <c r="N14" s="50">
        <v>3318341.0000000005</v>
      </c>
      <c r="O14" s="50">
        <v>3320551.0000000005</v>
      </c>
      <c r="P14" s="50"/>
      <c r="Q14" s="48"/>
    </row>
    <row r="15" spans="1:17">
      <c r="A15" s="49">
        <f t="shared" si="1"/>
        <v>2004</v>
      </c>
      <c r="B15" s="50">
        <v>3387111.33</v>
      </c>
      <c r="C15" s="50">
        <v>4381761.1900000004</v>
      </c>
      <c r="D15" s="50">
        <v>4092346.0000000005</v>
      </c>
      <c r="E15" s="50">
        <v>4010671.0000000005</v>
      </c>
      <c r="F15" s="50">
        <v>4077925.0000000005</v>
      </c>
      <c r="G15" s="50">
        <v>3965357.0000000005</v>
      </c>
      <c r="H15" s="50">
        <v>3941150.0000000005</v>
      </c>
      <c r="I15" s="50">
        <v>3907991.0000000005</v>
      </c>
      <c r="J15" s="50">
        <v>3907991.0000000005</v>
      </c>
      <c r="K15" s="50">
        <v>4107991.0000000005</v>
      </c>
      <c r="L15" s="50">
        <v>4597344</v>
      </c>
      <c r="M15" s="50">
        <v>4592139</v>
      </c>
      <c r="N15" s="50">
        <v>4622140</v>
      </c>
      <c r="O15" s="50" t="s">
        <v>7</v>
      </c>
      <c r="P15" s="50"/>
      <c r="Q15" s="48"/>
    </row>
    <row r="16" spans="1:17">
      <c r="A16" s="49">
        <f t="shared" si="1"/>
        <v>2005</v>
      </c>
      <c r="B16" s="50">
        <v>1352821.7</v>
      </c>
      <c r="C16" s="50">
        <v>2194942.98</v>
      </c>
      <c r="D16" s="50">
        <v>2813883.01</v>
      </c>
      <c r="E16" s="50">
        <v>3199683.9499999997</v>
      </c>
      <c r="F16" s="50">
        <v>3584339.4799999995</v>
      </c>
      <c r="G16" s="50">
        <v>3563309.0699999994</v>
      </c>
      <c r="H16" s="50">
        <v>3459553.9999999991</v>
      </c>
      <c r="I16" s="50">
        <v>3391535.9999999991</v>
      </c>
      <c r="J16" s="50">
        <v>3569091.9999999991</v>
      </c>
      <c r="K16" s="50">
        <v>4448855.9999999991</v>
      </c>
      <c r="L16" s="50">
        <v>4629843.9999999991</v>
      </c>
      <c r="M16" s="50">
        <v>4629843.9999999991</v>
      </c>
      <c r="N16" s="50" t="s">
        <v>7</v>
      </c>
      <c r="O16" s="50" t="s">
        <v>7</v>
      </c>
      <c r="P16" s="50"/>
      <c r="Q16" s="48"/>
    </row>
    <row r="17" spans="1:31">
      <c r="A17" s="49">
        <f t="shared" si="1"/>
        <v>2006</v>
      </c>
      <c r="B17" s="50">
        <v>1950490.1799999997</v>
      </c>
      <c r="C17" s="50">
        <v>2862130.76</v>
      </c>
      <c r="D17" s="50">
        <v>3711344.4</v>
      </c>
      <c r="E17" s="50">
        <v>4603535.53</v>
      </c>
      <c r="F17" s="50">
        <v>4127352.5300000003</v>
      </c>
      <c r="G17" s="50">
        <v>4580480</v>
      </c>
      <c r="H17" s="50">
        <v>4561028</v>
      </c>
      <c r="I17" s="50">
        <v>4313668</v>
      </c>
      <c r="J17" s="50">
        <v>4297494</v>
      </c>
      <c r="K17" s="50">
        <v>4500360</v>
      </c>
      <c r="L17" s="50">
        <v>4721272</v>
      </c>
      <c r="M17" s="50" t="s">
        <v>7</v>
      </c>
      <c r="N17" s="50" t="s">
        <v>7</v>
      </c>
      <c r="O17" s="50" t="s">
        <v>7</v>
      </c>
      <c r="P17" s="50"/>
      <c r="Q17" s="48"/>
    </row>
    <row r="18" spans="1:31">
      <c r="A18" s="49">
        <f t="shared" si="1"/>
        <v>2007</v>
      </c>
      <c r="B18" s="50">
        <v>955991.93</v>
      </c>
      <c r="C18" s="50">
        <v>1638241.8</v>
      </c>
      <c r="D18" s="50">
        <v>2152948.2400000002</v>
      </c>
      <c r="E18" s="50">
        <v>2405814.7400000002</v>
      </c>
      <c r="F18" s="50">
        <v>2505187</v>
      </c>
      <c r="G18" s="50">
        <v>2535108</v>
      </c>
      <c r="H18" s="50">
        <v>2943917</v>
      </c>
      <c r="I18" s="50">
        <v>3388075</v>
      </c>
      <c r="J18" s="50">
        <v>3297603</v>
      </c>
      <c r="K18" s="50">
        <v>3244357</v>
      </c>
      <c r="L18" s="50" t="s">
        <v>7</v>
      </c>
      <c r="M18" s="50" t="s">
        <v>7</v>
      </c>
      <c r="N18" s="50" t="s">
        <v>7</v>
      </c>
      <c r="O18" s="50" t="s">
        <v>7</v>
      </c>
      <c r="P18" s="50"/>
    </row>
    <row r="19" spans="1:31">
      <c r="A19" s="49">
        <f t="shared" si="1"/>
        <v>2008</v>
      </c>
      <c r="B19" s="50">
        <v>1351388.51</v>
      </c>
      <c r="C19" s="50">
        <v>2162378.56</v>
      </c>
      <c r="D19" s="50">
        <v>2284658.9699999997</v>
      </c>
      <c r="E19" s="50">
        <v>1890704.9999999998</v>
      </c>
      <c r="F19" s="50">
        <v>1963560.9999999998</v>
      </c>
      <c r="G19" s="50">
        <v>2427073</v>
      </c>
      <c r="H19" s="50">
        <v>2593348</v>
      </c>
      <c r="I19" s="50">
        <v>2243619</v>
      </c>
      <c r="J19" s="50">
        <v>2329891</v>
      </c>
      <c r="K19" s="50" t="s">
        <v>7</v>
      </c>
      <c r="L19" s="50" t="s">
        <v>7</v>
      </c>
      <c r="M19" s="50" t="s">
        <v>7</v>
      </c>
      <c r="N19" s="50" t="s">
        <v>7</v>
      </c>
      <c r="O19" s="50" t="s">
        <v>7</v>
      </c>
      <c r="P19" s="50"/>
    </row>
    <row r="20" spans="1:31">
      <c r="A20" s="49">
        <f t="shared" si="1"/>
        <v>2009</v>
      </c>
      <c r="B20" s="50">
        <v>1404553.83</v>
      </c>
      <c r="C20" s="50">
        <v>1983267.53</v>
      </c>
      <c r="D20" s="50">
        <v>1968187</v>
      </c>
      <c r="E20" s="50">
        <v>2542655</v>
      </c>
      <c r="F20" s="50">
        <v>2594652</v>
      </c>
      <c r="G20" s="50">
        <v>2629274</v>
      </c>
      <c r="H20" s="50">
        <v>2602566</v>
      </c>
      <c r="I20" s="50">
        <v>2674745</v>
      </c>
      <c r="J20" s="50" t="s">
        <v>7</v>
      </c>
      <c r="K20" s="50" t="s">
        <v>7</v>
      </c>
      <c r="L20" s="50" t="s">
        <v>7</v>
      </c>
      <c r="M20" s="50" t="s">
        <v>7</v>
      </c>
      <c r="N20" s="50" t="s">
        <v>7</v>
      </c>
      <c r="O20" s="50" t="s">
        <v>7</v>
      </c>
      <c r="P20" s="50"/>
    </row>
    <row r="21" spans="1:31">
      <c r="A21" s="49">
        <f t="shared" si="1"/>
        <v>2010</v>
      </c>
      <c r="B21" s="50">
        <v>1430915.83</v>
      </c>
      <c r="C21" s="50">
        <v>1672762</v>
      </c>
      <c r="D21" s="50">
        <v>2857354</v>
      </c>
      <c r="E21" s="50">
        <v>3159009</v>
      </c>
      <c r="F21" s="50">
        <v>3412368</v>
      </c>
      <c r="G21" s="50">
        <v>3523261</v>
      </c>
      <c r="H21" s="50">
        <v>3631863</v>
      </c>
      <c r="I21" s="50" t="s">
        <v>7</v>
      </c>
      <c r="J21" s="50" t="s">
        <v>7</v>
      </c>
      <c r="K21" s="50" t="s">
        <v>7</v>
      </c>
      <c r="L21" s="50" t="s">
        <v>7</v>
      </c>
      <c r="M21" s="50" t="s">
        <v>7</v>
      </c>
      <c r="N21" s="50" t="s">
        <v>7</v>
      </c>
      <c r="O21" s="50" t="s">
        <v>7</v>
      </c>
      <c r="P21" s="50"/>
    </row>
    <row r="22" spans="1:31">
      <c r="A22" s="49">
        <f t="shared" si="1"/>
        <v>2011</v>
      </c>
      <c r="B22" s="50">
        <v>1769464</v>
      </c>
      <c r="C22" s="50">
        <v>2565537</v>
      </c>
      <c r="D22" s="50">
        <v>4448961</v>
      </c>
      <c r="E22" s="50">
        <v>6686897</v>
      </c>
      <c r="F22" s="50">
        <v>7420618</v>
      </c>
      <c r="G22" s="50">
        <v>7442768</v>
      </c>
      <c r="H22" s="50" t="s">
        <v>7</v>
      </c>
      <c r="I22" s="50" t="s">
        <v>7</v>
      </c>
      <c r="J22" s="50" t="s">
        <v>7</v>
      </c>
      <c r="K22" s="50" t="s">
        <v>7</v>
      </c>
      <c r="L22" s="50" t="s">
        <v>7</v>
      </c>
      <c r="M22" s="50" t="s">
        <v>7</v>
      </c>
      <c r="N22" s="50" t="s">
        <v>7</v>
      </c>
      <c r="O22" s="50" t="s">
        <v>7</v>
      </c>
      <c r="P22" s="50"/>
    </row>
    <row r="23" spans="1:31">
      <c r="A23" s="49">
        <f t="shared" si="1"/>
        <v>2012</v>
      </c>
      <c r="B23" s="50">
        <v>2241702</v>
      </c>
      <c r="C23" s="50">
        <v>2840701</v>
      </c>
      <c r="D23" s="50">
        <v>3796944</v>
      </c>
      <c r="E23" s="50">
        <v>4302900</v>
      </c>
      <c r="F23" s="50">
        <v>5448294</v>
      </c>
      <c r="G23" s="50" t="s">
        <v>7</v>
      </c>
      <c r="H23" s="50" t="s">
        <v>7</v>
      </c>
      <c r="I23" s="50" t="s">
        <v>7</v>
      </c>
      <c r="J23" s="50" t="s">
        <v>7</v>
      </c>
      <c r="K23" s="50" t="s">
        <v>7</v>
      </c>
      <c r="L23" s="50" t="s">
        <v>7</v>
      </c>
      <c r="M23" s="50" t="s">
        <v>7</v>
      </c>
      <c r="N23" s="50" t="s">
        <v>7</v>
      </c>
      <c r="O23" s="50" t="s">
        <v>7</v>
      </c>
      <c r="P23" s="50"/>
    </row>
    <row r="24" spans="1:31">
      <c r="A24" s="49">
        <f t="shared" si="1"/>
        <v>2013</v>
      </c>
      <c r="B24" s="50">
        <v>1059264</v>
      </c>
      <c r="C24" s="50">
        <v>1861035</v>
      </c>
      <c r="D24" s="50">
        <v>2421578</v>
      </c>
      <c r="E24" s="50">
        <v>2911031</v>
      </c>
      <c r="F24" s="50" t="s">
        <v>7</v>
      </c>
      <c r="G24" s="50" t="s">
        <v>7</v>
      </c>
      <c r="H24" s="50" t="s">
        <v>7</v>
      </c>
      <c r="I24" s="50" t="s">
        <v>7</v>
      </c>
      <c r="J24" s="50" t="s">
        <v>7</v>
      </c>
      <c r="K24" s="50" t="s">
        <v>7</v>
      </c>
      <c r="L24" s="50" t="s">
        <v>7</v>
      </c>
      <c r="M24" s="50" t="s">
        <v>7</v>
      </c>
      <c r="N24" s="50" t="s">
        <v>7</v>
      </c>
      <c r="O24" s="50" t="s">
        <v>7</v>
      </c>
      <c r="P24" s="50"/>
    </row>
    <row r="25" spans="1:31">
      <c r="A25" s="49">
        <f t="shared" si="1"/>
        <v>2014</v>
      </c>
      <c r="B25" s="50">
        <v>1304453</v>
      </c>
      <c r="C25" s="50">
        <v>2600406</v>
      </c>
      <c r="D25" s="50">
        <v>3045525</v>
      </c>
      <c r="E25" s="50" t="s">
        <v>7</v>
      </c>
      <c r="F25" s="50" t="s">
        <v>7</v>
      </c>
      <c r="G25" s="50" t="s">
        <v>7</v>
      </c>
      <c r="H25" s="50" t="s">
        <v>7</v>
      </c>
      <c r="I25" s="50" t="s">
        <v>7</v>
      </c>
      <c r="J25" s="50" t="s">
        <v>7</v>
      </c>
      <c r="K25" s="50" t="s">
        <v>7</v>
      </c>
      <c r="L25" s="50" t="s">
        <v>7</v>
      </c>
      <c r="M25" s="50" t="s">
        <v>7</v>
      </c>
      <c r="N25" s="50" t="s">
        <v>7</v>
      </c>
      <c r="O25" s="50" t="s">
        <v>7</v>
      </c>
      <c r="P25" s="50"/>
    </row>
    <row r="26" spans="1:31">
      <c r="A26" s="49">
        <f>+A27-1</f>
        <v>2015</v>
      </c>
      <c r="B26" s="50">
        <v>1667175</v>
      </c>
      <c r="C26" s="50">
        <v>2397947</v>
      </c>
      <c r="D26" s="50" t="s">
        <v>7</v>
      </c>
      <c r="E26" s="50" t="s">
        <v>7</v>
      </c>
      <c r="F26" s="50" t="s">
        <v>7</v>
      </c>
      <c r="G26" s="50" t="s">
        <v>7</v>
      </c>
      <c r="H26" s="50" t="s">
        <v>7</v>
      </c>
      <c r="I26" s="50" t="s">
        <v>7</v>
      </c>
      <c r="J26" s="50" t="s">
        <v>7</v>
      </c>
      <c r="K26" s="50" t="s">
        <v>7</v>
      </c>
      <c r="L26" s="50" t="s">
        <v>7</v>
      </c>
      <c r="M26" s="50" t="s">
        <v>7</v>
      </c>
      <c r="N26" s="50" t="s">
        <v>7</v>
      </c>
      <c r="O26" s="50" t="s">
        <v>7</v>
      </c>
      <c r="P26" s="50"/>
    </row>
    <row r="27" spans="1:31">
      <c r="A27" s="51">
        <f>+EndYear</f>
        <v>2016</v>
      </c>
      <c r="B27" s="50">
        <v>2365070</v>
      </c>
      <c r="C27" s="50" t="s">
        <v>7</v>
      </c>
      <c r="D27" s="50" t="s">
        <v>7</v>
      </c>
      <c r="E27" s="50" t="s">
        <v>7</v>
      </c>
      <c r="F27" s="50" t="s">
        <v>7</v>
      </c>
      <c r="G27" s="50" t="s">
        <v>7</v>
      </c>
      <c r="H27" s="50" t="s">
        <v>7</v>
      </c>
      <c r="I27" s="50" t="s">
        <v>7</v>
      </c>
      <c r="J27" s="50" t="s">
        <v>7</v>
      </c>
      <c r="K27" s="50" t="s">
        <v>7</v>
      </c>
      <c r="L27" s="50" t="s">
        <v>7</v>
      </c>
      <c r="M27" s="50" t="s">
        <v>7</v>
      </c>
      <c r="N27" s="50" t="s">
        <v>7</v>
      </c>
      <c r="O27" s="50" t="s">
        <v>7</v>
      </c>
      <c r="P27" s="50"/>
      <c r="T27" s="37" t="s">
        <v>7</v>
      </c>
      <c r="U27" s="37" t="s">
        <v>7</v>
      </c>
      <c r="V27" s="37" t="s">
        <v>7</v>
      </c>
      <c r="W27" s="37" t="s">
        <v>7</v>
      </c>
      <c r="X27" s="37" t="s">
        <v>7</v>
      </c>
      <c r="Y27" s="37" t="s">
        <v>7</v>
      </c>
      <c r="Z27" s="37" t="s">
        <v>7</v>
      </c>
      <c r="AA27" s="37" t="s">
        <v>7</v>
      </c>
      <c r="AB27" s="37" t="s">
        <v>7</v>
      </c>
      <c r="AC27" s="37" t="s">
        <v>7</v>
      </c>
      <c r="AD27" s="37" t="s">
        <v>7</v>
      </c>
      <c r="AE27" s="37" t="s">
        <v>7</v>
      </c>
    </row>
    <row r="28" spans="1:31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30" spans="1:31">
      <c r="A30" s="40" t="str">
        <f>'[1]Exercise 6 - Paid-Ldfs'!$A$10</f>
        <v>Accident</v>
      </c>
      <c r="B30" s="41" t="s">
        <v>8</v>
      </c>
      <c r="C30" s="41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5"/>
    </row>
    <row r="31" spans="1:31">
      <c r="A31" s="43" t="s">
        <v>5</v>
      </c>
      <c r="B31" s="56" t="s">
        <v>9</v>
      </c>
      <c r="C31" s="56" t="s">
        <v>10</v>
      </c>
      <c r="D31" s="56" t="s">
        <v>11</v>
      </c>
      <c r="E31" s="56" t="s">
        <v>12</v>
      </c>
      <c r="F31" s="56" t="s">
        <v>13</v>
      </c>
      <c r="G31" s="56" t="s">
        <v>14</v>
      </c>
      <c r="H31" s="56" t="s">
        <v>15</v>
      </c>
      <c r="I31" s="56" t="s">
        <v>16</v>
      </c>
      <c r="J31" s="56" t="s">
        <v>17</v>
      </c>
      <c r="K31" s="56" t="s">
        <v>18</v>
      </c>
      <c r="L31" s="56" t="s">
        <v>19</v>
      </c>
      <c r="M31" s="56" t="s">
        <v>20</v>
      </c>
      <c r="N31" s="56" t="s">
        <v>21</v>
      </c>
      <c r="O31" s="56" t="s">
        <v>22</v>
      </c>
      <c r="P31" s="56" t="s">
        <v>23</v>
      </c>
    </row>
    <row r="32" spans="1:31">
      <c r="A32" s="49"/>
    </row>
    <row r="33" spans="1:16">
      <c r="A33" s="49">
        <f t="shared" ref="A33:A45" si="2">+A14</f>
        <v>2003</v>
      </c>
      <c r="B33" s="53">
        <f>ROUND(C13/B13,3)</f>
        <v>1.462</v>
      </c>
      <c r="C33" s="53">
        <f t="shared" ref="C33:N45" si="3">ROUND(D13/C13,3)</f>
        <v>1.0569999999999999</v>
      </c>
      <c r="D33" s="53">
        <f t="shared" si="3"/>
        <v>1.0129999999999999</v>
      </c>
      <c r="E33" s="53">
        <f t="shared" si="3"/>
        <v>1.044</v>
      </c>
      <c r="F33" s="53">
        <f t="shared" si="3"/>
        <v>0.97899999999999998</v>
      </c>
      <c r="G33" s="53">
        <f t="shared" si="3"/>
        <v>0.98899999999999999</v>
      </c>
      <c r="H33" s="53">
        <f t="shared" si="3"/>
        <v>0.995</v>
      </c>
      <c r="I33" s="53">
        <f t="shared" si="3"/>
        <v>1.0189999999999999</v>
      </c>
      <c r="J33" s="53">
        <f t="shared" si="3"/>
        <v>1.1060000000000001</v>
      </c>
      <c r="K33" s="53">
        <f t="shared" si="3"/>
        <v>1.0640000000000001</v>
      </c>
      <c r="L33" s="53">
        <f t="shared" si="3"/>
        <v>1.0169999999999999</v>
      </c>
      <c r="M33" s="53">
        <f t="shared" si="3"/>
        <v>1.0049999999999999</v>
      </c>
      <c r="N33" s="53">
        <f t="shared" si="3"/>
        <v>1.0089999999999999</v>
      </c>
      <c r="O33" s="53">
        <f>ROUND(P13/O13,3)</f>
        <v>1</v>
      </c>
    </row>
    <row r="34" spans="1:16">
      <c r="A34" s="49">
        <f t="shared" si="2"/>
        <v>2004</v>
      </c>
      <c r="B34" s="53">
        <f t="shared" ref="B34:B46" si="4">ROUND(C14/B14,3)</f>
        <v>1.659</v>
      </c>
      <c r="C34" s="53">
        <f t="shared" si="3"/>
        <v>1.0720000000000001</v>
      </c>
      <c r="D34" s="53">
        <f t="shared" si="3"/>
        <v>0.94599999999999995</v>
      </c>
      <c r="E34" s="53">
        <f t="shared" si="3"/>
        <v>0.998</v>
      </c>
      <c r="F34" s="53">
        <f t="shared" si="3"/>
        <v>0.96899999999999997</v>
      </c>
      <c r="G34" s="53">
        <f t="shared" si="3"/>
        <v>1.0029999999999999</v>
      </c>
      <c r="H34" s="53">
        <f t="shared" si="3"/>
        <v>1.016</v>
      </c>
      <c r="I34" s="53">
        <f t="shared" si="3"/>
        <v>1.0049999999999999</v>
      </c>
      <c r="J34" s="53">
        <f t="shared" si="3"/>
        <v>1.008</v>
      </c>
      <c r="K34" s="53">
        <f t="shared" si="3"/>
        <v>1.024</v>
      </c>
      <c r="L34" s="53">
        <f t="shared" si="3"/>
        <v>1.071</v>
      </c>
      <c r="M34" s="53">
        <f t="shared" si="3"/>
        <v>1.0069999999999999</v>
      </c>
      <c r="N34" s="53">
        <f t="shared" si="3"/>
        <v>1.0009999999999999</v>
      </c>
    </row>
    <row r="35" spans="1:16">
      <c r="A35" s="49">
        <f t="shared" si="2"/>
        <v>2005</v>
      </c>
      <c r="B35" s="53">
        <f t="shared" si="4"/>
        <v>1.294</v>
      </c>
      <c r="C35" s="53">
        <f t="shared" si="3"/>
        <v>0.93400000000000005</v>
      </c>
      <c r="D35" s="53">
        <f t="shared" si="3"/>
        <v>0.98</v>
      </c>
      <c r="E35" s="53">
        <f t="shared" si="3"/>
        <v>1.0169999999999999</v>
      </c>
      <c r="F35" s="53">
        <f t="shared" si="3"/>
        <v>0.97199999999999998</v>
      </c>
      <c r="G35" s="53">
        <f t="shared" si="3"/>
        <v>0.99399999999999999</v>
      </c>
      <c r="H35" s="53">
        <f t="shared" si="3"/>
        <v>0.99199999999999999</v>
      </c>
      <c r="I35" s="53">
        <f t="shared" si="3"/>
        <v>1</v>
      </c>
      <c r="J35" s="53">
        <f t="shared" si="3"/>
        <v>1.0509999999999999</v>
      </c>
      <c r="K35" s="53">
        <f t="shared" si="3"/>
        <v>1.119</v>
      </c>
      <c r="L35" s="53">
        <f t="shared" si="3"/>
        <v>0.999</v>
      </c>
      <c r="M35" s="53">
        <f t="shared" si="3"/>
        <v>1.0069999999999999</v>
      </c>
    </row>
    <row r="36" spans="1:16">
      <c r="A36" s="49">
        <f t="shared" si="2"/>
        <v>2006</v>
      </c>
      <c r="B36" s="53">
        <f t="shared" si="4"/>
        <v>1.6220000000000001</v>
      </c>
      <c r="C36" s="53">
        <f t="shared" si="3"/>
        <v>1.282</v>
      </c>
      <c r="D36" s="53">
        <f t="shared" si="3"/>
        <v>1.137</v>
      </c>
      <c r="E36" s="53">
        <f t="shared" si="3"/>
        <v>1.1200000000000001</v>
      </c>
      <c r="F36" s="53">
        <f t="shared" si="3"/>
        <v>0.99399999999999999</v>
      </c>
      <c r="G36" s="53">
        <f t="shared" si="3"/>
        <v>0.97099999999999997</v>
      </c>
      <c r="H36" s="53">
        <f t="shared" si="3"/>
        <v>0.98</v>
      </c>
      <c r="I36" s="53">
        <f t="shared" si="3"/>
        <v>1.052</v>
      </c>
      <c r="J36" s="53">
        <f t="shared" si="3"/>
        <v>1.246</v>
      </c>
      <c r="K36" s="53">
        <f t="shared" si="3"/>
        <v>1.0409999999999999</v>
      </c>
      <c r="L36" s="53">
        <f t="shared" si="3"/>
        <v>1</v>
      </c>
    </row>
    <row r="37" spans="1:16">
      <c r="A37" s="49">
        <f t="shared" si="2"/>
        <v>2007</v>
      </c>
      <c r="B37" s="53">
        <f t="shared" si="4"/>
        <v>1.4670000000000001</v>
      </c>
      <c r="C37" s="53">
        <f t="shared" si="3"/>
        <v>1.2969999999999999</v>
      </c>
      <c r="D37" s="53">
        <f t="shared" si="3"/>
        <v>1.24</v>
      </c>
      <c r="E37" s="53">
        <f t="shared" si="3"/>
        <v>0.89700000000000002</v>
      </c>
      <c r="F37" s="53">
        <f t="shared" si="3"/>
        <v>1.1100000000000001</v>
      </c>
      <c r="G37" s="53">
        <f t="shared" si="3"/>
        <v>0.996</v>
      </c>
      <c r="H37" s="53">
        <f t="shared" si="3"/>
        <v>0.94599999999999995</v>
      </c>
      <c r="I37" s="53">
        <f t="shared" si="3"/>
        <v>0.996</v>
      </c>
      <c r="J37" s="53">
        <f t="shared" si="3"/>
        <v>1.0469999999999999</v>
      </c>
      <c r="K37" s="53">
        <f t="shared" si="3"/>
        <v>1.0489999999999999</v>
      </c>
    </row>
    <row r="38" spans="1:16">
      <c r="A38" s="49">
        <f t="shared" si="2"/>
        <v>2008</v>
      </c>
      <c r="B38" s="53">
        <f t="shared" si="4"/>
        <v>1.714</v>
      </c>
      <c r="C38" s="53">
        <f t="shared" si="3"/>
        <v>1.3140000000000001</v>
      </c>
      <c r="D38" s="53">
        <f t="shared" si="3"/>
        <v>1.117</v>
      </c>
      <c r="E38" s="53">
        <f t="shared" si="3"/>
        <v>1.0409999999999999</v>
      </c>
      <c r="F38" s="53">
        <f t="shared" si="3"/>
        <v>1.012</v>
      </c>
      <c r="G38" s="53">
        <f t="shared" si="3"/>
        <v>1.161</v>
      </c>
      <c r="H38" s="53">
        <f t="shared" si="3"/>
        <v>1.151</v>
      </c>
      <c r="I38" s="53">
        <f t="shared" si="3"/>
        <v>0.97299999999999998</v>
      </c>
      <c r="J38" s="53">
        <f t="shared" si="3"/>
        <v>0.98399999999999999</v>
      </c>
      <c r="K38" s="53"/>
      <c r="L38" s="53"/>
      <c r="M38" s="53"/>
      <c r="N38" s="53"/>
      <c r="O38" s="53"/>
      <c r="P38" s="53"/>
    </row>
    <row r="39" spans="1:16">
      <c r="A39" s="49">
        <f t="shared" si="2"/>
        <v>2009</v>
      </c>
      <c r="B39" s="53">
        <f t="shared" si="4"/>
        <v>1.6</v>
      </c>
      <c r="C39" s="53">
        <f t="shared" si="3"/>
        <v>1.0569999999999999</v>
      </c>
      <c r="D39" s="53">
        <f t="shared" si="3"/>
        <v>0.82799999999999996</v>
      </c>
      <c r="E39" s="53">
        <f t="shared" si="3"/>
        <v>1.0389999999999999</v>
      </c>
      <c r="F39" s="53">
        <f t="shared" si="3"/>
        <v>1.236</v>
      </c>
      <c r="G39" s="53">
        <f t="shared" si="3"/>
        <v>1.069</v>
      </c>
      <c r="H39" s="53">
        <f t="shared" si="3"/>
        <v>0.86499999999999999</v>
      </c>
      <c r="I39" s="53">
        <f t="shared" si="3"/>
        <v>1.038</v>
      </c>
      <c r="J39" s="53"/>
      <c r="K39" s="53"/>
      <c r="L39" s="53"/>
      <c r="M39" s="53"/>
      <c r="N39" s="53"/>
      <c r="O39" s="53"/>
      <c r="P39" s="53"/>
    </row>
    <row r="40" spans="1:16">
      <c r="A40" s="49">
        <f t="shared" si="2"/>
        <v>2010</v>
      </c>
      <c r="B40" s="53">
        <f t="shared" si="4"/>
        <v>1.4119999999999999</v>
      </c>
      <c r="C40" s="53">
        <f t="shared" si="3"/>
        <v>0.99199999999999999</v>
      </c>
      <c r="D40" s="53">
        <f t="shared" si="3"/>
        <v>1.292</v>
      </c>
      <c r="E40" s="53">
        <f t="shared" si="3"/>
        <v>1.02</v>
      </c>
      <c r="F40" s="53">
        <f t="shared" si="3"/>
        <v>1.0129999999999999</v>
      </c>
      <c r="G40" s="53">
        <f t="shared" si="3"/>
        <v>0.99</v>
      </c>
      <c r="H40" s="53">
        <f t="shared" si="3"/>
        <v>1.028</v>
      </c>
      <c r="I40" s="53"/>
      <c r="J40" s="53"/>
      <c r="K40" s="53"/>
      <c r="L40" s="53"/>
      <c r="M40" s="53"/>
      <c r="N40" s="53"/>
      <c r="O40" s="53"/>
      <c r="P40" s="53"/>
    </row>
    <row r="41" spans="1:16">
      <c r="A41" s="49">
        <f t="shared" si="2"/>
        <v>2011</v>
      </c>
      <c r="B41" s="53">
        <f t="shared" si="4"/>
        <v>1.169</v>
      </c>
      <c r="C41" s="53">
        <f t="shared" si="3"/>
        <v>1.708</v>
      </c>
      <c r="D41" s="53">
        <f t="shared" si="3"/>
        <v>1.1060000000000001</v>
      </c>
      <c r="E41" s="53">
        <f t="shared" si="3"/>
        <v>1.08</v>
      </c>
      <c r="F41" s="53">
        <f t="shared" si="3"/>
        <v>1.032</v>
      </c>
      <c r="G41" s="53">
        <f t="shared" si="3"/>
        <v>1.0309999999999999</v>
      </c>
      <c r="H41" s="53"/>
      <c r="I41" s="53"/>
      <c r="J41" s="53"/>
      <c r="K41" s="53"/>
      <c r="L41" s="53"/>
      <c r="M41" s="53"/>
      <c r="N41" s="53"/>
      <c r="O41" s="53"/>
      <c r="P41" s="53"/>
    </row>
    <row r="42" spans="1:16">
      <c r="A42" s="49">
        <f t="shared" si="2"/>
        <v>2012</v>
      </c>
      <c r="B42" s="53">
        <f t="shared" si="4"/>
        <v>1.45</v>
      </c>
      <c r="C42" s="53">
        <f t="shared" si="3"/>
        <v>1.734</v>
      </c>
      <c r="D42" s="53">
        <f t="shared" si="3"/>
        <v>1.5029999999999999</v>
      </c>
      <c r="E42" s="53">
        <f t="shared" si="3"/>
        <v>1.1100000000000001</v>
      </c>
      <c r="F42" s="53">
        <f t="shared" si="3"/>
        <v>1.0029999999999999</v>
      </c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>
      <c r="A43" s="49">
        <f t="shared" si="2"/>
        <v>2013</v>
      </c>
      <c r="B43" s="53">
        <f t="shared" si="4"/>
        <v>1.2669999999999999</v>
      </c>
      <c r="C43" s="53">
        <f t="shared" si="3"/>
        <v>1.337</v>
      </c>
      <c r="D43" s="53">
        <f t="shared" si="3"/>
        <v>1.133</v>
      </c>
      <c r="E43" s="53">
        <f t="shared" si="3"/>
        <v>1.266</v>
      </c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16">
      <c r="A44" s="49">
        <f t="shared" si="2"/>
        <v>2014</v>
      </c>
      <c r="B44" s="53">
        <f t="shared" si="4"/>
        <v>1.7569999999999999</v>
      </c>
      <c r="C44" s="53">
        <f t="shared" si="3"/>
        <v>1.3009999999999999</v>
      </c>
      <c r="D44" s="53">
        <f t="shared" si="3"/>
        <v>1.202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>
      <c r="A45" s="49">
        <f t="shared" si="2"/>
        <v>2015</v>
      </c>
      <c r="B45" s="53">
        <f t="shared" si="4"/>
        <v>1.9930000000000001</v>
      </c>
      <c r="C45" s="53">
        <f t="shared" si="3"/>
        <v>1.171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>
      <c r="A46" s="51">
        <f>+A27</f>
        <v>2016</v>
      </c>
      <c r="B46" s="53">
        <f t="shared" si="4"/>
        <v>1.4379999999999999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</row>
    <row r="47" spans="1:16">
      <c r="B47" s="58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1:16">
      <c r="A48" s="59" t="s">
        <v>24</v>
      </c>
      <c r="B48" s="59"/>
    </row>
    <row r="49" spans="1:17">
      <c r="A49" s="59" t="s">
        <v>25</v>
      </c>
      <c r="B49" s="53">
        <f>ROUND(AVERAGE(B44:B46),3)</f>
        <v>1.7290000000000001</v>
      </c>
      <c r="C49" s="53">
        <f>ROUND(AVERAGE(C43:C45),3)</f>
        <v>1.27</v>
      </c>
      <c r="D49" s="53">
        <f>ROUND(AVERAGE(D42:D44),3)</f>
        <v>1.2789999999999999</v>
      </c>
      <c r="E49" s="53">
        <f>ROUND(AVERAGE(E41:E43),3)</f>
        <v>1.1519999999999999</v>
      </c>
      <c r="F49" s="53">
        <f>ROUND(AVERAGE(F40:F42),3)</f>
        <v>1.016</v>
      </c>
      <c r="G49" s="53">
        <f>ROUND(AVERAGE(G39:G41),3)</f>
        <v>1.03</v>
      </c>
      <c r="H49" s="53">
        <f>ROUND(AVERAGE(H38:H40),3)</f>
        <v>1.0149999999999999</v>
      </c>
      <c r="I49" s="53">
        <f>ROUND(AVERAGE(I37:I39),3)</f>
        <v>1.002</v>
      </c>
      <c r="J49" s="53">
        <f>ROUND(AVERAGE(J36:J38),3)</f>
        <v>1.0920000000000001</v>
      </c>
      <c r="K49" s="53">
        <f>ROUND(AVERAGE(K35:K37),3)</f>
        <v>1.07</v>
      </c>
      <c r="L49" s="53">
        <f>ROUND(AVERAGE(L34:L36),3)</f>
        <v>1.0229999999999999</v>
      </c>
      <c r="M49" s="53">
        <f>ROUND(AVERAGE(M33:M35),3)</f>
        <v>1.006</v>
      </c>
      <c r="N49" s="53"/>
      <c r="O49" s="53"/>
      <c r="P49" s="53"/>
    </row>
    <row r="50" spans="1:17">
      <c r="A50" s="59" t="s">
        <v>26</v>
      </c>
      <c r="B50" s="53">
        <f>ROUND(AVERAGE(B42:B46),3)</f>
        <v>1.581</v>
      </c>
      <c r="C50" s="53">
        <f>ROUND(AVERAGE(C41:C45),3)</f>
        <v>1.45</v>
      </c>
      <c r="D50" s="53">
        <f>ROUND(AVERAGE(D40:D44),3)</f>
        <v>1.2470000000000001</v>
      </c>
      <c r="E50" s="53">
        <f>ROUND(AVERAGE(E39:E43),3)</f>
        <v>1.103</v>
      </c>
      <c r="F50" s="53">
        <f>ROUND(AVERAGE(F38:F42),3)</f>
        <v>1.0589999999999999</v>
      </c>
      <c r="G50" s="53">
        <f>ROUND(AVERAGE(G37:G41),3)</f>
        <v>1.0489999999999999</v>
      </c>
      <c r="H50" s="53">
        <f>ROUND(AVERAGE(H36:H40),3)</f>
        <v>0.99399999999999999</v>
      </c>
      <c r="I50" s="53">
        <f>ROUND(AVERAGE(I35:I39),3)</f>
        <v>1.012</v>
      </c>
      <c r="J50" s="53">
        <f>ROUND(AVERAGE(J34:J38),3)</f>
        <v>1.0669999999999999</v>
      </c>
      <c r="K50" s="53">
        <f>ROUND(AVERAGE(K33:K37),3)</f>
        <v>1.0589999999999999</v>
      </c>
      <c r="L50" s="53">
        <f>ROUND(AVERAGE(L32:L36),3)</f>
        <v>1.022</v>
      </c>
      <c r="M50" s="53"/>
      <c r="N50" s="53"/>
      <c r="O50" s="53"/>
      <c r="P50" s="53"/>
    </row>
    <row r="51" spans="1:17">
      <c r="A51" s="59" t="s">
        <v>27</v>
      </c>
      <c r="B51" s="53">
        <f>ROUND((SUM(B42:B46)-MAX(B42:B46)-MIN(B42:B46))/3,3)</f>
        <v>1.548</v>
      </c>
      <c r="C51" s="53">
        <f>ROUND((SUM(C41:C45)-MAX(C41:C45)-MIN(C41:C45))/3,3)</f>
        <v>1.4490000000000001</v>
      </c>
      <c r="D51" s="53">
        <f>ROUND((SUM(D40:D44)-MAX(D40:D44)-MIN(D40:D44))/3,3)</f>
        <v>1.2090000000000001</v>
      </c>
      <c r="E51" s="53">
        <f>ROUND((SUM(E39:E43)-MAX(E39:E43)-MIN(E39:E43))/3,3)</f>
        <v>1.0760000000000001</v>
      </c>
      <c r="F51" s="53">
        <f>ROUND((SUM(F38:F42)-MAX(F38:F42)-MIN(F38:F42))/3,3)</f>
        <v>1.0189999999999999</v>
      </c>
      <c r="G51" s="53">
        <f>ROUND((SUM(G37:G41)-MAX(G37:G41)-MIN(G37:G41))/3,3)</f>
        <v>1.032</v>
      </c>
      <c r="H51" s="53">
        <f>ROUND((SUM(H36:H40)-MAX(H36:H40)-MIN(H36:H40))/3,3)</f>
        <v>0.98499999999999999</v>
      </c>
      <c r="I51" s="53">
        <f>ROUND((SUM(I35:I39)-MAX(I35:I39)-MIN(I35:I39))/3,3)</f>
        <v>1.0109999999999999</v>
      </c>
      <c r="J51" s="53">
        <f>ROUND((SUM(J34:J38)-MAX(J34:J38)-MIN(J34:J38))/3,3)</f>
        <v>1.0349999999999999</v>
      </c>
      <c r="K51" s="53">
        <f>ROUND((SUM(K33:K37)-MAX(K33:K37)-MIN(K33:K37))/3,3)</f>
        <v>1.0509999999999999</v>
      </c>
      <c r="L51" s="53"/>
      <c r="N51" s="53"/>
      <c r="O51" s="53"/>
      <c r="P51" s="53"/>
      <c r="Q51" s="58"/>
    </row>
    <row r="52" spans="1:17">
      <c r="A52" s="60" t="s">
        <v>28</v>
      </c>
      <c r="B52" s="53">
        <f>AVERAGE(B32:B47)</f>
        <v>1.5217142857142856</v>
      </c>
      <c r="C52" s="53">
        <f>AVERAGE(C31:C46)</f>
        <v>1.2504615384615385</v>
      </c>
      <c r="D52" s="53">
        <f>AVERAGE(D30:D45)</f>
        <v>1.1247500000000001</v>
      </c>
      <c r="E52" s="53">
        <f>AVERAGE(E29:E44)</f>
        <v>1.0574545454545454</v>
      </c>
      <c r="F52" s="53">
        <f>AVERAGE(F28:F43)</f>
        <v>1.032</v>
      </c>
      <c r="G52" s="53">
        <f>AVERAGE(G27:G42)</f>
        <v>1.0226666666666666</v>
      </c>
      <c r="H52" s="53">
        <f>AVERAGE(H26:H41)</f>
        <v>0.99662500000000009</v>
      </c>
      <c r="I52" s="53">
        <f>AVERAGE(I25:I40)</f>
        <v>1.011857142857143</v>
      </c>
      <c r="J52" s="53">
        <f>AVERAGE(J24:J39)</f>
        <v>1.0736666666666665</v>
      </c>
      <c r="K52" s="53">
        <f>AVERAGE(K23:K38)</f>
        <v>1.0593999999999997</v>
      </c>
      <c r="L52" s="53">
        <f>AVERAGE(L22:L37)</f>
        <v>1.0217499999999999</v>
      </c>
      <c r="M52" s="53">
        <f>AVERAGE(M21:M36)</f>
        <v>1.0063333333333331</v>
      </c>
      <c r="N52" s="53">
        <f>AVERAGE(N20:N35)</f>
        <v>1.0049999999999999</v>
      </c>
      <c r="O52" s="53">
        <f>AVERAGE(O20:O35)</f>
        <v>1</v>
      </c>
      <c r="P52" s="53"/>
      <c r="Q52" s="58"/>
    </row>
    <row r="53" spans="1:17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8"/>
    </row>
    <row r="54" spans="1:17">
      <c r="A54" s="59" t="s">
        <v>29</v>
      </c>
      <c r="B54" s="53">
        <f>ROUND(SUM(C24:C26)/SUM(B24:B26),3)</f>
        <v>1.702</v>
      </c>
      <c r="C54" s="53">
        <f>ROUND(SUM(D23:D25)/SUM(C23:C25),3)</f>
        <v>1.2689999999999999</v>
      </c>
      <c r="D54" s="53">
        <f>ROUND(SUM(E22:E24)/SUM(D22:D24),3)</f>
        <v>1.3029999999999999</v>
      </c>
      <c r="E54" s="53">
        <f>ROUND(SUM(F21:F23)/SUM(E21:E23),3)</f>
        <v>1.151</v>
      </c>
      <c r="F54" s="53">
        <f>ROUND(SUM(G20:G22)/SUM(F20:F22),3)</f>
        <v>1.012</v>
      </c>
      <c r="G54" s="53">
        <f>ROUND(SUM(H19:H21)/SUM(G19:G21),3)</f>
        <v>1.0289999999999999</v>
      </c>
      <c r="H54" s="53">
        <f>ROUND(SUM(I18:I20)/SUM(H18:H20),3)</f>
        <v>1.02</v>
      </c>
      <c r="I54" s="53">
        <f>ROUND(SUM(J17:J19)/SUM(I17:I19),3)</f>
        <v>0.998</v>
      </c>
      <c r="J54" s="53">
        <f>ROUND(SUM(K16:K18)/SUM(J16:J18),3)</f>
        <v>1.0920000000000001</v>
      </c>
      <c r="K54" s="53">
        <f>ROUND(SUM(L15:L17)/SUM(K15:K17),3)</f>
        <v>1.0680000000000001</v>
      </c>
      <c r="L54" s="53">
        <f>ROUND(SUM(M14:M16)/SUM(L14:L16),3)</f>
        <v>1.0169999999999999</v>
      </c>
      <c r="M54" s="53">
        <f>ROUND(SUM(N13:N15)/SUM(M13:M15),3)</f>
        <v>1.006</v>
      </c>
      <c r="N54" s="53">
        <f>ROUND(SUM(O12:O14)/SUM(N12:N14),3)</f>
        <v>1.0049999999999999</v>
      </c>
      <c r="O54" s="53"/>
      <c r="P54" s="53"/>
      <c r="Q54" s="58"/>
    </row>
    <row r="55" spans="1:17">
      <c r="A55" s="59" t="s">
        <v>30</v>
      </c>
      <c r="B55" s="53">
        <f>ROUND(SUM(C22:C26)/SUM(B22:B26),3)</f>
        <v>1.5249999999999999</v>
      </c>
      <c r="C55" s="53">
        <f>ROUND(SUM(D21:D25)/SUM(C21:C25),3)</f>
        <v>1.4359999999999999</v>
      </c>
      <c r="D55" s="53">
        <f>ROUND(SUM(E20:E24)/SUM(D20:D24),3)</f>
        <v>1.2649999999999999</v>
      </c>
      <c r="E55" s="53">
        <f>ROUND(SUM(F19:F23)/SUM(E19:E23),3)</f>
        <v>1.121</v>
      </c>
      <c r="F55" s="53">
        <f>ROUND(SUM(G18:G22)/SUM(F18:F22),3)</f>
        <v>1.0369999999999999</v>
      </c>
      <c r="G55" s="53">
        <f>ROUND(SUM(H17:H21)/SUM(G17:G21),3)</f>
        <v>1.0409999999999999</v>
      </c>
      <c r="H55" s="53">
        <f>ROUND(SUM(I16:I20)/SUM(H16:H20),3)</f>
        <v>0.99099999999999999</v>
      </c>
      <c r="I55" s="53">
        <f>ROUND(SUM(J15:J19)/SUM(I15:I19),3)</f>
        <v>1.0089999999999999</v>
      </c>
      <c r="J55" s="53">
        <f>ROUND(SUM(K14:K18)/SUM(J14:J18),3)</f>
        <v>1.069</v>
      </c>
      <c r="K55" s="53">
        <f>ROUND(SUM(L13:L17)/SUM(K13:K17),3)</f>
        <v>1.0609999999999999</v>
      </c>
      <c r="L55" s="53">
        <f>ROUND(SUM(M12:M16)/SUM(L12:L16),3)</f>
        <v>1.0169999999999999</v>
      </c>
      <c r="P55" s="53"/>
      <c r="Q55" s="58"/>
    </row>
    <row r="56" spans="1:17">
      <c r="A56" s="60" t="s">
        <v>28</v>
      </c>
      <c r="B56" s="53">
        <f>SUM(C$13:C26)/SUM(B$13:B26)</f>
        <v>1.4811434443522657</v>
      </c>
      <c r="C56" s="53">
        <f>SUM(D$13:D25)/SUM(C$13:C25)</f>
        <v>1.2195641437216251</v>
      </c>
      <c r="D56" s="53">
        <f>SUM(E$13:E24)/SUM(D$13:D24)</f>
        <v>1.1357343750296627</v>
      </c>
      <c r="E56" s="53">
        <f>SUM(F$13:F23)/SUM(E$13:E23)</f>
        <v>1.0630678468417865</v>
      </c>
      <c r="F56" s="53">
        <f>SUM(G$13:G22)/SUM(F$13:F22)</f>
        <v>1.02237753214046</v>
      </c>
      <c r="G56" s="53">
        <f>SUM(H$13:H21)/SUM(G$13:G21)</f>
        <v>1.0162180542601471</v>
      </c>
      <c r="H56" s="53">
        <f>SUM(I$13:I20)/SUM(H$13:H20)</f>
        <v>0.99418509510018083</v>
      </c>
      <c r="I56" s="53">
        <f>SUM(J$13:J19)/SUM(I$13:I19)</f>
        <v>1.0099647565140535</v>
      </c>
      <c r="J56" s="53">
        <f>SUM(K$13:K18)/SUM(J$13:J18)</f>
        <v>1.0752455947911541</v>
      </c>
      <c r="K56" s="53">
        <f>SUM(L$13:L17)/SUM(K$13:K17)</f>
        <v>1.0607159513254756</v>
      </c>
      <c r="L56" s="53">
        <f>SUM(M$13:M16)/SUM(L$13:L16)</f>
        <v>1.0173781214900535</v>
      </c>
      <c r="M56" s="53">
        <f>SUM(N$13:N15)/SUM(M$13:M15)</f>
        <v>1.0062074001127825</v>
      </c>
      <c r="N56" s="53">
        <f>SUM(O$13:O14)/SUM(N$13:N14)</f>
        <v>1.0053182108589542</v>
      </c>
      <c r="O56" s="53">
        <f>SUM(P$13:P13)/SUM(O$13:O13)</f>
        <v>1</v>
      </c>
      <c r="P56" s="53"/>
      <c r="Q56" s="58"/>
    </row>
    <row r="57" spans="1:17"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8"/>
    </row>
    <row r="58" spans="1:17">
      <c r="A58" s="38" t="s">
        <v>31</v>
      </c>
      <c r="B58" s="53">
        <v>1.6779999999999999</v>
      </c>
      <c r="C58" s="53">
        <v>1.306</v>
      </c>
      <c r="D58" s="53">
        <v>1.173</v>
      </c>
      <c r="E58" s="53">
        <v>1.0920000000000001</v>
      </c>
      <c r="F58" s="53">
        <v>1.0549999999999999</v>
      </c>
      <c r="G58" s="53">
        <v>1.0489999999999999</v>
      </c>
      <c r="H58" s="53">
        <v>1.03</v>
      </c>
      <c r="I58" s="53">
        <v>1.0249999999999999</v>
      </c>
      <c r="J58" s="53">
        <v>1.02</v>
      </c>
      <c r="K58" s="53">
        <v>1.05</v>
      </c>
      <c r="L58" s="53">
        <v>1</v>
      </c>
      <c r="M58" s="53">
        <v>1</v>
      </c>
      <c r="N58" s="53">
        <v>1</v>
      </c>
      <c r="O58" s="53">
        <v>1</v>
      </c>
      <c r="P58" s="53">
        <v>1</v>
      </c>
      <c r="Q58" s="58"/>
    </row>
    <row r="59" spans="1:17">
      <c r="A59" s="38" t="s">
        <v>32</v>
      </c>
      <c r="B59" s="61" t="s">
        <v>33</v>
      </c>
      <c r="C59" s="61" t="s">
        <v>33</v>
      </c>
      <c r="D59" s="61" t="s">
        <v>33</v>
      </c>
      <c r="E59" s="61" t="s">
        <v>33</v>
      </c>
      <c r="F59" s="61" t="s">
        <v>33</v>
      </c>
      <c r="G59" s="61" t="s">
        <v>33</v>
      </c>
      <c r="H59" s="61" t="s">
        <v>33</v>
      </c>
      <c r="I59" s="61" t="s">
        <v>33</v>
      </c>
      <c r="J59" s="61" t="s">
        <v>33</v>
      </c>
      <c r="K59" s="61" t="s">
        <v>33</v>
      </c>
      <c r="L59" s="61" t="s">
        <v>33</v>
      </c>
      <c r="M59" s="61" t="s">
        <v>33</v>
      </c>
      <c r="N59" s="61" t="s">
        <v>33</v>
      </c>
      <c r="O59" s="61" t="s">
        <v>33</v>
      </c>
      <c r="P59" s="61" t="s">
        <v>33</v>
      </c>
      <c r="Q59" s="58"/>
    </row>
    <row r="60" spans="1:17"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8"/>
    </row>
    <row r="61" spans="1:17">
      <c r="A61" s="38" t="s">
        <v>34</v>
      </c>
      <c r="B61" s="32">
        <f>+B56</f>
        <v>1.4811434443522657</v>
      </c>
      <c r="C61" s="32">
        <f t="shared" ref="C61:O61" si="5">+C56</f>
        <v>1.2195641437216251</v>
      </c>
      <c r="D61" s="32">
        <f t="shared" si="5"/>
        <v>1.1357343750296627</v>
      </c>
      <c r="E61" s="32">
        <f t="shared" si="5"/>
        <v>1.0630678468417865</v>
      </c>
      <c r="F61" s="32">
        <f t="shared" si="5"/>
        <v>1.02237753214046</v>
      </c>
      <c r="G61" s="32">
        <f t="shared" si="5"/>
        <v>1.0162180542601471</v>
      </c>
      <c r="H61" s="32">
        <f t="shared" si="5"/>
        <v>0.99418509510018083</v>
      </c>
      <c r="I61" s="32">
        <f t="shared" si="5"/>
        <v>1.0099647565140535</v>
      </c>
      <c r="J61" s="32">
        <f t="shared" si="5"/>
        <v>1.0752455947911541</v>
      </c>
      <c r="K61" s="32">
        <f t="shared" si="5"/>
        <v>1.0607159513254756</v>
      </c>
      <c r="L61" s="32">
        <f t="shared" si="5"/>
        <v>1.0173781214900535</v>
      </c>
      <c r="M61" s="32">
        <f t="shared" si="5"/>
        <v>1.0062074001127825</v>
      </c>
      <c r="N61" s="32">
        <f t="shared" si="5"/>
        <v>1.0053182108589542</v>
      </c>
      <c r="O61" s="32">
        <f t="shared" si="5"/>
        <v>1</v>
      </c>
      <c r="P61" s="32">
        <v>1</v>
      </c>
      <c r="Q61" s="58"/>
    </row>
    <row r="62" spans="1:17">
      <c r="A62" s="38" t="s">
        <v>35</v>
      </c>
      <c r="B62" s="53">
        <f t="shared" ref="B62:N62" si="6">B61*C62</f>
        <v>2.6704928164625059</v>
      </c>
      <c r="C62" s="53">
        <f t="shared" si="6"/>
        <v>1.8029940493915948</v>
      </c>
      <c r="D62" s="53">
        <f t="shared" si="6"/>
        <v>1.4783921441717476</v>
      </c>
      <c r="E62" s="53">
        <f t="shared" si="6"/>
        <v>1.3017059064828742</v>
      </c>
      <c r="F62" s="53">
        <f t="shared" si="6"/>
        <v>1.2244805544162072</v>
      </c>
      <c r="G62" s="53">
        <f t="shared" si="6"/>
        <v>1.1976794441605365</v>
      </c>
      <c r="H62" s="53">
        <f t="shared" si="6"/>
        <v>1.1785654064496045</v>
      </c>
      <c r="I62" s="53">
        <f t="shared" si="6"/>
        <v>1.1854587362636373</v>
      </c>
      <c r="J62" s="53">
        <f t="shared" si="6"/>
        <v>1.1737624789555137</v>
      </c>
      <c r="K62" s="53">
        <f t="shared" si="6"/>
        <v>1.0916226810336243</v>
      </c>
      <c r="L62" s="53">
        <f t="shared" si="6"/>
        <v>1.0291376118833016</v>
      </c>
      <c r="M62" s="53">
        <f t="shared" si="6"/>
        <v>1.0115586232344225</v>
      </c>
      <c r="N62" s="53">
        <f t="shared" si="6"/>
        <v>1.0053182108589542</v>
      </c>
      <c r="O62" s="53">
        <f>O61*P62</f>
        <v>1</v>
      </c>
      <c r="P62" s="53">
        <f>P61</f>
        <v>1</v>
      </c>
      <c r="Q62" s="58"/>
    </row>
    <row r="63" spans="1:17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</row>
    <row r="64" spans="1:17">
      <c r="B64" s="38"/>
    </row>
    <row r="108" spans="2:20">
      <c r="S108" s="45" t="s">
        <v>128</v>
      </c>
      <c r="T108" s="3" t="str">
        <f>+A6</f>
        <v>Incurred Loss</v>
      </c>
    </row>
    <row r="109" spans="2:20">
      <c r="S109" s="207">
        <f>+EvalDate</f>
        <v>42735</v>
      </c>
      <c r="T109" s="3" t="s">
        <v>137</v>
      </c>
    </row>
    <row r="110" spans="2:20">
      <c r="B110" s="246">
        <v>12</v>
      </c>
      <c r="C110" s="246">
        <f>+B110+12</f>
        <v>24</v>
      </c>
      <c r="D110" s="246">
        <f>+C110+12</f>
        <v>36</v>
      </c>
      <c r="E110" s="246">
        <f t="shared" ref="E110:P110" si="7">+D110+12</f>
        <v>48</v>
      </c>
      <c r="F110" s="246">
        <f t="shared" si="7"/>
        <v>60</v>
      </c>
      <c r="G110" s="246">
        <f t="shared" si="7"/>
        <v>72</v>
      </c>
      <c r="H110" s="246">
        <f t="shared" si="7"/>
        <v>84</v>
      </c>
      <c r="I110" s="246">
        <f t="shared" si="7"/>
        <v>96</v>
      </c>
      <c r="J110" s="246">
        <f t="shared" si="7"/>
        <v>108</v>
      </c>
      <c r="K110" s="246">
        <f t="shared" si="7"/>
        <v>120</v>
      </c>
      <c r="L110" s="246">
        <f t="shared" si="7"/>
        <v>132</v>
      </c>
      <c r="M110" s="246">
        <f t="shared" si="7"/>
        <v>144</v>
      </c>
      <c r="N110" s="246">
        <f t="shared" si="7"/>
        <v>156</v>
      </c>
      <c r="O110" s="246">
        <f t="shared" si="7"/>
        <v>168</v>
      </c>
      <c r="P110" s="246">
        <f t="shared" si="7"/>
        <v>180</v>
      </c>
      <c r="Q110" s="246"/>
      <c r="R110" s="247"/>
      <c r="T110" s="247"/>
    </row>
    <row r="111" spans="2:20">
      <c r="B111" s="248">
        <f>+B62</f>
        <v>2.6704928164625059</v>
      </c>
      <c r="C111" s="248">
        <f>+C62</f>
        <v>1.8029940493915948</v>
      </c>
      <c r="D111" s="248">
        <f t="shared" ref="D111:P111" si="8">+D62</f>
        <v>1.4783921441717476</v>
      </c>
      <c r="E111" s="248">
        <f t="shared" si="8"/>
        <v>1.3017059064828742</v>
      </c>
      <c r="F111" s="248">
        <f t="shared" si="8"/>
        <v>1.2244805544162072</v>
      </c>
      <c r="G111" s="248">
        <f t="shared" si="8"/>
        <v>1.1976794441605365</v>
      </c>
      <c r="H111" s="248">
        <f t="shared" si="8"/>
        <v>1.1785654064496045</v>
      </c>
      <c r="I111" s="248">
        <f t="shared" si="8"/>
        <v>1.1854587362636373</v>
      </c>
      <c r="J111" s="248">
        <f t="shared" si="8"/>
        <v>1.1737624789555137</v>
      </c>
      <c r="K111" s="248">
        <f t="shared" si="8"/>
        <v>1.0916226810336243</v>
      </c>
      <c r="L111" s="248">
        <f t="shared" si="8"/>
        <v>1.0291376118833016</v>
      </c>
      <c r="M111" s="248">
        <f t="shared" si="8"/>
        <v>1.0115586232344225</v>
      </c>
      <c r="N111" s="248">
        <f t="shared" si="8"/>
        <v>1.0053182108589542</v>
      </c>
      <c r="O111" s="248">
        <f t="shared" si="8"/>
        <v>1</v>
      </c>
      <c r="P111" s="248">
        <f t="shared" si="8"/>
        <v>1</v>
      </c>
      <c r="Q111" s="247"/>
      <c r="R111" s="247">
        <f t="shared" ref="R111:R123" si="9">+R112+12</f>
        <v>180</v>
      </c>
      <c r="S111" s="206">
        <f>+P13</f>
        <v>4230708.2989949994</v>
      </c>
      <c r="T111" s="249">
        <f t="shared" ref="T111:T125" si="10">+HLOOKUP(R111,$B$110:$Q$111,2,FALSE)</f>
        <v>1</v>
      </c>
    </row>
    <row r="112" spans="2:20"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>
        <f t="shared" si="9"/>
        <v>168</v>
      </c>
      <c r="S112" s="206">
        <f>+O14</f>
        <v>3320551.0000000005</v>
      </c>
      <c r="T112" s="249">
        <f t="shared" si="10"/>
        <v>1</v>
      </c>
    </row>
    <row r="113" spans="2:20"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>
        <f t="shared" si="9"/>
        <v>156</v>
      </c>
      <c r="S113" s="206">
        <f>+N15</f>
        <v>4622140</v>
      </c>
      <c r="T113" s="249">
        <f t="shared" si="10"/>
        <v>1.0053182108589542</v>
      </c>
    </row>
    <row r="114" spans="2:20"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>
        <f t="shared" si="9"/>
        <v>144</v>
      </c>
      <c r="S114" s="206">
        <f>+M16</f>
        <v>4629843.9999999991</v>
      </c>
      <c r="T114" s="249">
        <f t="shared" si="10"/>
        <v>1.0115586232344225</v>
      </c>
    </row>
    <row r="115" spans="2:20"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>
        <f t="shared" si="9"/>
        <v>132</v>
      </c>
      <c r="S115" s="206">
        <f>+L17</f>
        <v>4721272</v>
      </c>
      <c r="T115" s="249">
        <f t="shared" si="10"/>
        <v>1.0291376118833016</v>
      </c>
    </row>
    <row r="116" spans="2:20"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>
        <f t="shared" si="9"/>
        <v>120</v>
      </c>
      <c r="S116" s="206">
        <f>+K18</f>
        <v>3244357</v>
      </c>
      <c r="T116" s="249">
        <f t="shared" si="10"/>
        <v>1.0916226810336243</v>
      </c>
    </row>
    <row r="117" spans="2:20"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>
        <f t="shared" si="9"/>
        <v>108</v>
      </c>
      <c r="S117" s="206">
        <f>+J19</f>
        <v>2329891</v>
      </c>
      <c r="T117" s="249">
        <f t="shared" si="10"/>
        <v>1.1737624789555137</v>
      </c>
    </row>
    <row r="118" spans="2:20"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>
        <f t="shared" si="9"/>
        <v>96</v>
      </c>
      <c r="S118" s="206">
        <f>+I20</f>
        <v>2674745</v>
      </c>
      <c r="T118" s="249">
        <f t="shared" si="10"/>
        <v>1.1854587362636373</v>
      </c>
    </row>
    <row r="119" spans="2:20"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>
        <f t="shared" si="9"/>
        <v>84</v>
      </c>
      <c r="S119" s="206">
        <f>+H21</f>
        <v>3631863</v>
      </c>
      <c r="T119" s="249">
        <f t="shared" si="10"/>
        <v>1.1785654064496045</v>
      </c>
    </row>
    <row r="120" spans="2:20"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>
        <f t="shared" si="9"/>
        <v>72</v>
      </c>
      <c r="S120" s="206">
        <f>+G22</f>
        <v>7442768</v>
      </c>
      <c r="T120" s="249">
        <f t="shared" si="10"/>
        <v>1.1976794441605365</v>
      </c>
    </row>
    <row r="121" spans="2:20"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>
        <f t="shared" si="9"/>
        <v>60</v>
      </c>
      <c r="S121" s="206">
        <f>+F23</f>
        <v>5448294</v>
      </c>
      <c r="T121" s="249">
        <f t="shared" si="10"/>
        <v>1.2244805544162072</v>
      </c>
    </row>
    <row r="122" spans="2:20"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>
        <f t="shared" si="9"/>
        <v>48</v>
      </c>
      <c r="S122" s="206">
        <f>+E24</f>
        <v>2911031</v>
      </c>
      <c r="T122" s="249">
        <f t="shared" si="10"/>
        <v>1.3017059064828742</v>
      </c>
    </row>
    <row r="123" spans="2:20"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>
        <f t="shared" si="9"/>
        <v>36</v>
      </c>
      <c r="S123" s="206">
        <f>+D25</f>
        <v>3045525</v>
      </c>
      <c r="T123" s="249">
        <f t="shared" si="10"/>
        <v>1.4783921441717476</v>
      </c>
    </row>
    <row r="124" spans="2:20"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>
        <f>+R125+12</f>
        <v>24</v>
      </c>
      <c r="S124" s="206">
        <f>+C26</f>
        <v>2397947</v>
      </c>
      <c r="T124" s="249">
        <f t="shared" si="10"/>
        <v>1.8029940493915948</v>
      </c>
    </row>
    <row r="125" spans="2:20"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  <c r="R125" s="247">
        <v>12</v>
      </c>
      <c r="S125" s="206">
        <f>+B27</f>
        <v>2365070</v>
      </c>
      <c r="T125" s="249">
        <f t="shared" si="10"/>
        <v>2.6704928164625059</v>
      </c>
    </row>
    <row r="126" spans="2:20">
      <c r="T126" s="37" t="s">
        <v>7</v>
      </c>
    </row>
  </sheetData>
  <conditionalFormatting sqref="B49">
    <cfRule type="cellIs" priority="1" stopIfTrue="1" operator="notEqual">
      <formula>B49</formula>
    </cfRule>
  </conditionalFormatting>
  <pageMargins left="0.7" right="0.7" top="0.75" bottom="0.75" header="0.3" footer="0.3"/>
  <ignoredErrors>
    <ignoredError sqref="B54:O56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336699"/>
  </sheetPr>
  <dimension ref="A1:I123"/>
  <sheetViews>
    <sheetView showGridLines="0" workbookViewId="0">
      <selection activeCell="D20" sqref="D20"/>
    </sheetView>
  </sheetViews>
  <sheetFormatPr defaultRowHeight="12.75"/>
  <cols>
    <col min="1" max="8" width="22.42578125" customWidth="1"/>
    <col min="9" max="13" width="14.5703125" customWidth="1"/>
  </cols>
  <sheetData>
    <row r="1" spans="1:9" ht="15.75">
      <c r="A1" s="203" t="s">
        <v>0</v>
      </c>
    </row>
    <row r="2" spans="1:9" ht="15.75">
      <c r="A2" s="204" t="str">
        <f>+"Analysis of Loss &amp; DCC Reserves as of "&amp;TEXT(EvalDate,"mm/dd/yyy")</f>
        <v>Analysis of Loss &amp; DCC Reserves as of 12/31/2016</v>
      </c>
    </row>
    <row r="3" spans="1:9" ht="15.75">
      <c r="A3" s="205" t="str">
        <f>+LOB</f>
        <v>Liability</v>
      </c>
    </row>
    <row r="5" spans="1:9" ht="15.75">
      <c r="A5" s="104" t="s">
        <v>135</v>
      </c>
    </row>
    <row r="6" spans="1:9" ht="15.75">
      <c r="A6" s="73"/>
    </row>
    <row r="7" spans="1:9" ht="15.75">
      <c r="A7" s="73"/>
      <c r="B7" s="167"/>
      <c r="C7" s="167"/>
      <c r="D7" s="167"/>
      <c r="E7" s="167"/>
      <c r="F7" s="167"/>
      <c r="G7" s="167"/>
      <c r="H7" s="167"/>
      <c r="I7" s="167"/>
    </row>
    <row r="8" spans="1:9" ht="15.75">
      <c r="A8" s="168"/>
      <c r="B8" s="76"/>
      <c r="C8" s="76"/>
      <c r="D8" s="76"/>
      <c r="E8" s="169" t="s">
        <v>124</v>
      </c>
      <c r="F8" s="76"/>
      <c r="G8" s="76"/>
      <c r="H8" s="76"/>
      <c r="I8" s="167"/>
    </row>
    <row r="9" spans="1:9" ht="15.75">
      <c r="A9" s="168"/>
      <c r="B9" s="79" t="s">
        <v>45</v>
      </c>
      <c r="C9" s="78" t="s">
        <v>46</v>
      </c>
      <c r="D9" s="80" t="s">
        <v>47</v>
      </c>
      <c r="E9" s="79" t="s">
        <v>48</v>
      </c>
      <c r="F9" s="79" t="s">
        <v>49</v>
      </c>
      <c r="G9" s="79" t="s">
        <v>50</v>
      </c>
      <c r="H9" s="79" t="s">
        <v>51</v>
      </c>
      <c r="I9" s="167"/>
    </row>
    <row r="10" spans="1:9" ht="15.75">
      <c r="A10" s="170"/>
      <c r="B10" s="83"/>
      <c r="C10" s="76"/>
      <c r="D10" s="76"/>
      <c r="E10" s="83"/>
      <c r="F10" s="83" t="s">
        <v>125</v>
      </c>
      <c r="G10" s="83"/>
      <c r="H10" s="83" t="s">
        <v>63</v>
      </c>
      <c r="I10" s="167"/>
    </row>
    <row r="11" spans="1:9" ht="15.75">
      <c r="A11" s="86" t="str">
        <f>'[1]Exercise 6 - Paid-Ldfs'!A10</f>
        <v>Accident</v>
      </c>
      <c r="B11" s="86" t="s">
        <v>143</v>
      </c>
      <c r="C11" s="83" t="s">
        <v>52</v>
      </c>
      <c r="D11" s="83" t="s">
        <v>112</v>
      </c>
      <c r="E11" s="83" t="s">
        <v>64</v>
      </c>
      <c r="F11" s="83" t="s">
        <v>73</v>
      </c>
      <c r="G11" s="83" t="s">
        <v>89</v>
      </c>
      <c r="H11" s="83" t="str">
        <f>'[1]Exercise 15 - Ult Loss Select'!C18</f>
        <v>Loss</v>
      </c>
      <c r="I11" s="167"/>
    </row>
    <row r="12" spans="1:9" ht="15.75">
      <c r="A12" s="87" t="s">
        <v>5</v>
      </c>
      <c r="B12" s="87" t="s">
        <v>58</v>
      </c>
      <c r="C12" s="87" t="str">
        <f>'[1]Exercise 15 - Ult Loss Select'!$C$18</f>
        <v>Loss</v>
      </c>
      <c r="D12" s="87" t="str">
        <f>'[1]Exercise 15 - Ult Loss Select'!D18</f>
        <v>Reserves</v>
      </c>
      <c r="E12" s="87" t="str">
        <f>'[1]Exercise 15 - Ult Loss Select'!$C$18</f>
        <v>Loss</v>
      </c>
      <c r="F12" s="87" t="str">
        <f>'[1]Exercise 15 - Ult Loss Select'!$C$18</f>
        <v>Loss</v>
      </c>
      <c r="G12" s="87" t="s">
        <v>56</v>
      </c>
      <c r="H12" s="87" t="str">
        <f>G12</f>
        <v>Reserves</v>
      </c>
      <c r="I12" s="167"/>
    </row>
    <row r="13" spans="1:9">
      <c r="A13" s="89"/>
      <c r="B13" s="90"/>
      <c r="C13" s="90"/>
      <c r="D13" s="90"/>
      <c r="E13" s="90"/>
      <c r="F13" s="90"/>
      <c r="G13" s="90"/>
      <c r="H13" s="90"/>
    </row>
    <row r="14" spans="1:9">
      <c r="A14" s="89">
        <f t="shared" ref="A14:A26" si="0">+A15-1</f>
        <v>2002</v>
      </c>
      <c r="B14" s="111">
        <f>+'Input Data'!C14</f>
        <v>6953372</v>
      </c>
      <c r="C14" s="111">
        <f>'Exercise 15 - Ult Loss Select'!C17</f>
        <v>4066336.3900369992</v>
      </c>
      <c r="D14" s="111">
        <f>E14-C14</f>
        <v>164371.90895800013</v>
      </c>
      <c r="E14" s="111">
        <f>'Exercise 15 - Ult Loss Select'!E17</f>
        <v>4230708.2989949994</v>
      </c>
      <c r="F14" s="111">
        <f>'Exercise 15 - Ult Loss Select'!L17</f>
        <v>4230708.2989949994</v>
      </c>
      <c r="G14" s="235">
        <f>+F14-E14</f>
        <v>0</v>
      </c>
      <c r="H14" s="235">
        <f>+F14-C14</f>
        <v>164371.90895800013</v>
      </c>
    </row>
    <row r="15" spans="1:9">
      <c r="A15" s="89">
        <f t="shared" si="0"/>
        <v>2003</v>
      </c>
      <c r="B15" s="111">
        <f>+'Input Data'!C15</f>
        <v>6567116</v>
      </c>
      <c r="C15" s="111">
        <f>'Exercise 15 - Ult Loss Select'!C18</f>
        <v>3271028.46</v>
      </c>
      <c r="D15" s="111">
        <f>E15-C15</f>
        <v>49522.540000000503</v>
      </c>
      <c r="E15" s="111">
        <f>'Exercise 15 - Ult Loss Select'!E18</f>
        <v>3320551.0000000005</v>
      </c>
      <c r="F15" s="111">
        <f>'Exercise 15 - Ult Loss Select'!L18</f>
        <v>3320551.0000000005</v>
      </c>
      <c r="G15" s="235">
        <f t="shared" ref="G15:G28" si="1">+F15-E15</f>
        <v>0</v>
      </c>
      <c r="H15" s="235">
        <f t="shared" ref="H15:H28" si="2">+F15-C15</f>
        <v>49522.540000000503</v>
      </c>
    </row>
    <row r="16" spans="1:9">
      <c r="A16" s="89">
        <f t="shared" si="0"/>
        <v>2004</v>
      </c>
      <c r="B16" s="111">
        <f>+'Input Data'!C16</f>
        <v>6690146</v>
      </c>
      <c r="C16" s="111">
        <f>'Exercise 15 - Ult Loss Select'!C19</f>
        <v>4586913</v>
      </c>
      <c r="D16" s="111">
        <f>E16-C16</f>
        <v>35227</v>
      </c>
      <c r="E16" s="111">
        <f>'Exercise 15 - Ult Loss Select'!E19</f>
        <v>4622140</v>
      </c>
      <c r="F16" s="111">
        <f>'Exercise 15 - Ult Loss Select'!L19</f>
        <v>4622140</v>
      </c>
      <c r="G16" s="235">
        <f t="shared" si="1"/>
        <v>0</v>
      </c>
      <c r="H16" s="235">
        <f t="shared" si="2"/>
        <v>35227</v>
      </c>
    </row>
    <row r="17" spans="1:8">
      <c r="A17" s="89">
        <f t="shared" si="0"/>
        <v>2005</v>
      </c>
      <c r="B17" s="111">
        <f>+'Input Data'!C17</f>
        <v>7103262.0000000009</v>
      </c>
      <c r="C17" s="111">
        <f>'Exercise 15 - Ult Loss Select'!C20</f>
        <v>4556737.22</v>
      </c>
      <c r="D17" s="111">
        <f>E17-C17</f>
        <v>73106.779999999329</v>
      </c>
      <c r="E17" s="111">
        <f>'Exercise 15 - Ult Loss Select'!E20</f>
        <v>4629843.9999999991</v>
      </c>
      <c r="F17" s="111">
        <f>'Exercise 15 - Ult Loss Select'!L20</f>
        <v>4629843.9999999991</v>
      </c>
      <c r="G17" s="235">
        <f t="shared" si="1"/>
        <v>0</v>
      </c>
      <c r="H17" s="235">
        <f t="shared" si="2"/>
        <v>73106.779999999329</v>
      </c>
    </row>
    <row r="18" spans="1:8">
      <c r="A18" s="89">
        <f t="shared" si="0"/>
        <v>2006</v>
      </c>
      <c r="B18" s="111">
        <f>+'Input Data'!C18</f>
        <v>7959030</v>
      </c>
      <c r="C18" s="111">
        <f>'Exercise 15 - Ult Loss Select'!C21</f>
        <v>4357830.49</v>
      </c>
      <c r="D18" s="111">
        <f>E18-C18</f>
        <v>363441.50999999978</v>
      </c>
      <c r="E18" s="111">
        <f>'Exercise 15 - Ult Loss Select'!E21</f>
        <v>4721272</v>
      </c>
      <c r="F18" s="111">
        <f>'Exercise 15 - Ult Loss Select'!L21</f>
        <v>4721272</v>
      </c>
      <c r="G18" s="235">
        <f t="shared" si="1"/>
        <v>0</v>
      </c>
      <c r="H18" s="235">
        <f t="shared" si="2"/>
        <v>363441.50999999978</v>
      </c>
    </row>
    <row r="19" spans="1:8">
      <c r="A19" s="89">
        <f t="shared" si="0"/>
        <v>2007</v>
      </c>
      <c r="B19" s="111">
        <f>+'Input Data'!C19</f>
        <v>9363418</v>
      </c>
      <c r="C19" s="111">
        <f>'Exercise 15 - Ult Loss Select'!C22</f>
        <v>3174352.51</v>
      </c>
      <c r="D19" s="111">
        <f t="shared" ref="D19:D27" si="3">E19-C19</f>
        <v>70004.490000000224</v>
      </c>
      <c r="E19" s="111">
        <f>'Exercise 15 - Ult Loss Select'!E22</f>
        <v>3244357</v>
      </c>
      <c r="F19" s="111">
        <f>'Exercise 15 - Ult Loss Select'!L22</f>
        <v>3244357</v>
      </c>
      <c r="G19" s="235">
        <f t="shared" si="1"/>
        <v>0</v>
      </c>
      <c r="H19" s="235">
        <f t="shared" si="2"/>
        <v>70004.490000000224</v>
      </c>
    </row>
    <row r="20" spans="1:8">
      <c r="A20" s="89">
        <f t="shared" si="0"/>
        <v>2008</v>
      </c>
      <c r="B20" s="111">
        <f>+'Input Data'!C20</f>
        <v>10597562</v>
      </c>
      <c r="C20" s="111">
        <f>'Exercise 15 - Ult Loss Select'!C23</f>
        <v>2329891</v>
      </c>
      <c r="D20" s="111">
        <f t="shared" si="3"/>
        <v>0</v>
      </c>
      <c r="E20" s="111">
        <f>'Exercise 15 - Ult Loss Select'!E23</f>
        <v>2329891</v>
      </c>
      <c r="F20" s="111">
        <f>'Exercise 15 - Ult Loss Select'!L23</f>
        <v>2329891</v>
      </c>
      <c r="G20" s="235">
        <f t="shared" si="1"/>
        <v>0</v>
      </c>
      <c r="H20" s="235">
        <f t="shared" si="2"/>
        <v>0</v>
      </c>
    </row>
    <row r="21" spans="1:8">
      <c r="A21" s="89">
        <f t="shared" si="0"/>
        <v>2009</v>
      </c>
      <c r="B21" s="111">
        <f>+'Input Data'!C21</f>
        <v>11036360</v>
      </c>
      <c r="C21" s="111">
        <f>'Exercise 15 - Ult Loss Select'!C24</f>
        <v>2463991.9700000002</v>
      </c>
      <c r="D21" s="111">
        <f t="shared" si="3"/>
        <v>210753.0299999998</v>
      </c>
      <c r="E21" s="111">
        <f>'Exercise 15 - Ult Loss Select'!E24</f>
        <v>2674745</v>
      </c>
      <c r="F21" s="111">
        <f>'Exercise 15 - Ult Loss Select'!L24</f>
        <v>2674745</v>
      </c>
      <c r="G21" s="235">
        <f t="shared" si="1"/>
        <v>0</v>
      </c>
      <c r="H21" s="235">
        <f t="shared" si="2"/>
        <v>210753.0299999998</v>
      </c>
    </row>
    <row r="22" spans="1:8">
      <c r="A22" s="89">
        <f t="shared" si="0"/>
        <v>2010</v>
      </c>
      <c r="B22" s="111">
        <f>+'Input Data'!C22</f>
        <v>11402928</v>
      </c>
      <c r="C22" s="111">
        <f>'Exercise 15 - Ult Loss Select'!C25</f>
        <v>3156139.46</v>
      </c>
      <c r="D22" s="111">
        <f t="shared" si="3"/>
        <v>475723.54000000004</v>
      </c>
      <c r="E22" s="111">
        <f>'Exercise 15 - Ult Loss Select'!E25</f>
        <v>3631863</v>
      </c>
      <c r="F22" s="111">
        <f>'Exercise 15 - Ult Loss Select'!L25</f>
        <v>3631863</v>
      </c>
      <c r="G22" s="235">
        <f t="shared" si="1"/>
        <v>0</v>
      </c>
      <c r="H22" s="235">
        <f t="shared" si="2"/>
        <v>475723.54000000004</v>
      </c>
    </row>
    <row r="23" spans="1:8">
      <c r="A23" s="89">
        <f t="shared" si="0"/>
        <v>2011</v>
      </c>
      <c r="B23" s="111">
        <f>+'Input Data'!C23</f>
        <v>11099580</v>
      </c>
      <c r="C23" s="111">
        <f>'Exercise 15 - Ult Loss Select'!C26</f>
        <v>6907218</v>
      </c>
      <c r="D23" s="111">
        <f t="shared" si="3"/>
        <v>535550</v>
      </c>
      <c r="E23" s="111">
        <f>'Exercise 15 - Ult Loss Select'!E26</f>
        <v>7442768</v>
      </c>
      <c r="F23" s="111">
        <f>'Exercise 15 - Ult Loss Select'!L26</f>
        <v>7442768</v>
      </c>
      <c r="G23" s="235">
        <f t="shared" si="1"/>
        <v>0</v>
      </c>
      <c r="H23" s="235">
        <f t="shared" si="2"/>
        <v>535550</v>
      </c>
    </row>
    <row r="24" spans="1:8">
      <c r="A24" s="89">
        <f t="shared" si="0"/>
        <v>2012</v>
      </c>
      <c r="B24" s="111">
        <f>+'Input Data'!C24</f>
        <v>10683363</v>
      </c>
      <c r="C24" s="111">
        <f>'Exercise 15 - Ult Loss Select'!C27</f>
        <v>4132680</v>
      </c>
      <c r="D24" s="111">
        <f t="shared" si="3"/>
        <v>1315614</v>
      </c>
      <c r="E24" s="111">
        <f>'Exercise 15 - Ult Loss Select'!E27</f>
        <v>5448294</v>
      </c>
      <c r="F24" s="111">
        <f>'Exercise 15 - Ult Loss Select'!L27</f>
        <v>5448294</v>
      </c>
      <c r="G24" s="235">
        <f t="shared" si="1"/>
        <v>0</v>
      </c>
      <c r="H24" s="235">
        <f t="shared" si="2"/>
        <v>1315614</v>
      </c>
    </row>
    <row r="25" spans="1:8">
      <c r="A25" s="89">
        <f t="shared" si="0"/>
        <v>2013</v>
      </c>
      <c r="B25" s="111">
        <f>+'Input Data'!C25</f>
        <v>10430225</v>
      </c>
      <c r="C25" s="111">
        <f>'Exercise 15 - Ult Loss Select'!C28</f>
        <v>1766812.92</v>
      </c>
      <c r="D25" s="111">
        <f t="shared" si="3"/>
        <v>1144218.08</v>
      </c>
      <c r="E25" s="111">
        <f>'Exercise 15 - Ult Loss Select'!E28</f>
        <v>2911031</v>
      </c>
      <c r="F25" s="111">
        <f>'Exercise 15 - Ult Loss Select'!L28</f>
        <v>2911031</v>
      </c>
      <c r="G25" s="235">
        <f t="shared" si="1"/>
        <v>0</v>
      </c>
      <c r="H25" s="235">
        <f t="shared" si="2"/>
        <v>1144218.08</v>
      </c>
    </row>
    <row r="26" spans="1:8">
      <c r="A26" s="89">
        <f t="shared" si="0"/>
        <v>2014</v>
      </c>
      <c r="B26" s="111">
        <f>+'Input Data'!C26</f>
        <v>10106327</v>
      </c>
      <c r="C26" s="111">
        <f>'Exercise 15 - Ult Loss Select'!C29</f>
        <v>1655619</v>
      </c>
      <c r="D26" s="111">
        <f t="shared" si="3"/>
        <v>1389906</v>
      </c>
      <c r="E26" s="111">
        <f>'Exercise 15 - Ult Loss Select'!E29</f>
        <v>3045525</v>
      </c>
      <c r="F26" s="111">
        <f>'Exercise 15 - Ult Loss Select'!L29</f>
        <v>3045525</v>
      </c>
      <c r="G26" s="235">
        <f t="shared" si="1"/>
        <v>0</v>
      </c>
      <c r="H26" s="235">
        <f t="shared" si="2"/>
        <v>1389906</v>
      </c>
    </row>
    <row r="27" spans="1:8">
      <c r="A27" s="89">
        <f>+A28-1</f>
        <v>2015</v>
      </c>
      <c r="B27" s="111">
        <f>+'Input Data'!C27</f>
        <v>9889744</v>
      </c>
      <c r="C27" s="111">
        <f>'Exercise 15 - Ult Loss Select'!C30</f>
        <v>629188</v>
      </c>
      <c r="D27" s="111">
        <f t="shared" si="3"/>
        <v>1768759</v>
      </c>
      <c r="E27" s="111">
        <f>'Exercise 15 - Ult Loss Select'!E30</f>
        <v>2397947</v>
      </c>
      <c r="F27" s="111">
        <f>'Exercise 15 - Ult Loss Select'!L30</f>
        <v>2397947</v>
      </c>
      <c r="G27" s="235">
        <f t="shared" si="1"/>
        <v>0</v>
      </c>
      <c r="H27" s="235">
        <f t="shared" si="2"/>
        <v>1768759</v>
      </c>
    </row>
    <row r="28" spans="1:8" ht="15">
      <c r="A28" s="49">
        <f>+EndYear</f>
        <v>2016</v>
      </c>
      <c r="B28" s="111">
        <f>+'Input Data'!C28</f>
        <v>9998035.5</v>
      </c>
      <c r="C28" s="111">
        <f>'Exercise 15 - Ult Loss Select'!C31</f>
        <v>383397</v>
      </c>
      <c r="D28" s="111">
        <f>E28-C28</f>
        <v>1981673</v>
      </c>
      <c r="E28" s="111">
        <f>'Exercise 15 - Ult Loss Select'!E31</f>
        <v>2365070</v>
      </c>
      <c r="F28" s="111">
        <f>'Exercise 15 - Ult Loss Select'!L31</f>
        <v>2365070</v>
      </c>
      <c r="G28" s="235">
        <f t="shared" si="1"/>
        <v>0</v>
      </c>
      <c r="H28" s="235">
        <f t="shared" si="2"/>
        <v>1981673</v>
      </c>
    </row>
    <row r="29" spans="1:8">
      <c r="A29" s="89"/>
      <c r="B29" s="171"/>
      <c r="C29" s="171"/>
      <c r="D29" s="171"/>
      <c r="E29" s="171"/>
      <c r="F29" s="311"/>
      <c r="G29" s="311"/>
      <c r="H29" s="311"/>
    </row>
    <row r="30" spans="1:8" ht="15.75">
      <c r="A30" s="172" t="str">
        <f>'[1]Exercise 15 - Ult Loss Select'!A36</f>
        <v>Total</v>
      </c>
      <c r="B30" s="99">
        <f t="shared" ref="B30:G30" si="4">SUM(B13:B29)</f>
        <v>139880468.5</v>
      </c>
      <c r="C30" s="99">
        <f t="shared" si="4"/>
        <v>47438135.420037001</v>
      </c>
      <c r="D30" s="99">
        <f t="shared" si="4"/>
        <v>9577870.8789579999</v>
      </c>
      <c r="E30" s="99">
        <f t="shared" si="4"/>
        <v>57016006.298995003</v>
      </c>
      <c r="F30" s="99">
        <f t="shared" si="4"/>
        <v>57016006.298995003</v>
      </c>
      <c r="G30" s="221">
        <f t="shared" si="4"/>
        <v>0</v>
      </c>
      <c r="H30" s="221">
        <f t="shared" ref="H30" si="5">SUM(H13:H29)</f>
        <v>9577870.8789579999</v>
      </c>
    </row>
    <row r="31" spans="1:8" ht="15.75">
      <c r="H31" s="73"/>
    </row>
    <row r="32" spans="1:8" ht="15.75">
      <c r="H32" s="73"/>
    </row>
    <row r="33" spans="8:8" ht="15.75">
      <c r="H33" s="73"/>
    </row>
    <row r="34" spans="8:8">
      <c r="H34" s="173"/>
    </row>
    <row r="35" spans="8:8">
      <c r="H35" s="173"/>
    </row>
    <row r="36" spans="8:8">
      <c r="H36" s="173"/>
    </row>
    <row r="37" spans="8:8">
      <c r="H37" s="173"/>
    </row>
    <row r="38" spans="8:8">
      <c r="H38" s="173"/>
    </row>
    <row r="39" spans="8:8">
      <c r="H39" s="173"/>
    </row>
    <row r="107" spans="2:8">
      <c r="B107" s="173">
        <f t="shared" ref="B107:E107" si="6">+B14</f>
        <v>6953372</v>
      </c>
      <c r="C107" s="173">
        <f t="shared" si="6"/>
        <v>4066336.3900369992</v>
      </c>
      <c r="D107" s="173">
        <f t="shared" si="6"/>
        <v>164371.90895800013</v>
      </c>
      <c r="E107" s="173">
        <f t="shared" si="6"/>
        <v>4230708.2989949994</v>
      </c>
      <c r="F107" s="173">
        <f>+F14</f>
        <v>4230708.2989949994</v>
      </c>
      <c r="G107" s="173">
        <f>+F107-E107</f>
        <v>0</v>
      </c>
      <c r="H107" s="173">
        <f>+F107-C107</f>
        <v>164371.90895800013</v>
      </c>
    </row>
    <row r="108" spans="2:8">
      <c r="B108" s="173">
        <f t="shared" ref="B108:F108" si="7">+B15</f>
        <v>6567116</v>
      </c>
      <c r="C108" s="173">
        <f t="shared" si="7"/>
        <v>3271028.46</v>
      </c>
      <c r="D108" s="173">
        <f t="shared" si="7"/>
        <v>49522.540000000503</v>
      </c>
      <c r="E108" s="173">
        <f t="shared" si="7"/>
        <v>3320551.0000000005</v>
      </c>
      <c r="F108" s="173">
        <f t="shared" si="7"/>
        <v>3320551.0000000005</v>
      </c>
      <c r="G108" s="173">
        <f t="shared" ref="G108:G121" si="8">+F108-E108</f>
        <v>0</v>
      </c>
      <c r="H108" s="173">
        <f t="shared" ref="H108:H121" si="9">+F108-C108</f>
        <v>49522.540000000503</v>
      </c>
    </row>
    <row r="109" spans="2:8">
      <c r="B109" s="173">
        <f t="shared" ref="B109:F109" si="10">+B16</f>
        <v>6690146</v>
      </c>
      <c r="C109" s="173">
        <f t="shared" si="10"/>
        <v>4586913</v>
      </c>
      <c r="D109" s="173">
        <f t="shared" si="10"/>
        <v>35227</v>
      </c>
      <c r="E109" s="173">
        <f t="shared" si="10"/>
        <v>4622140</v>
      </c>
      <c r="F109" s="173">
        <f t="shared" si="10"/>
        <v>4622140</v>
      </c>
      <c r="G109" s="173">
        <f t="shared" si="8"/>
        <v>0</v>
      </c>
      <c r="H109" s="173">
        <f t="shared" si="9"/>
        <v>35227</v>
      </c>
    </row>
    <row r="110" spans="2:8">
      <c r="B110" s="173">
        <f t="shared" ref="B110:F110" si="11">+B17</f>
        <v>7103262.0000000009</v>
      </c>
      <c r="C110" s="173">
        <f t="shared" si="11"/>
        <v>4556737.22</v>
      </c>
      <c r="D110" s="173">
        <f t="shared" si="11"/>
        <v>73106.779999999329</v>
      </c>
      <c r="E110" s="173">
        <f t="shared" si="11"/>
        <v>4629843.9999999991</v>
      </c>
      <c r="F110" s="173">
        <f t="shared" si="11"/>
        <v>4629843.9999999991</v>
      </c>
      <c r="G110" s="173">
        <f t="shared" si="8"/>
        <v>0</v>
      </c>
      <c r="H110" s="173">
        <f t="shared" si="9"/>
        <v>73106.779999999329</v>
      </c>
    </row>
    <row r="111" spans="2:8">
      <c r="B111" s="173">
        <f t="shared" ref="B111:F111" si="12">+B18</f>
        <v>7959030</v>
      </c>
      <c r="C111" s="173">
        <f t="shared" si="12"/>
        <v>4357830.49</v>
      </c>
      <c r="D111" s="173">
        <f t="shared" si="12"/>
        <v>363441.50999999978</v>
      </c>
      <c r="E111" s="173">
        <f t="shared" si="12"/>
        <v>4721272</v>
      </c>
      <c r="F111" s="173">
        <f t="shared" si="12"/>
        <v>4721272</v>
      </c>
      <c r="G111" s="173">
        <f t="shared" si="8"/>
        <v>0</v>
      </c>
      <c r="H111" s="173">
        <f t="shared" si="9"/>
        <v>363441.50999999978</v>
      </c>
    </row>
    <row r="112" spans="2:8">
      <c r="B112" s="173">
        <f t="shared" ref="B112:F112" si="13">+B19</f>
        <v>9363418</v>
      </c>
      <c r="C112" s="173">
        <f t="shared" si="13"/>
        <v>3174352.51</v>
      </c>
      <c r="D112" s="173">
        <f t="shared" si="13"/>
        <v>70004.490000000224</v>
      </c>
      <c r="E112" s="173">
        <f t="shared" si="13"/>
        <v>3244357</v>
      </c>
      <c r="F112" s="173">
        <f t="shared" si="13"/>
        <v>3244357</v>
      </c>
      <c r="G112" s="173">
        <f t="shared" si="8"/>
        <v>0</v>
      </c>
      <c r="H112" s="173">
        <f t="shared" si="9"/>
        <v>70004.490000000224</v>
      </c>
    </row>
    <row r="113" spans="2:8">
      <c r="B113" s="173">
        <f t="shared" ref="B113:F113" si="14">+B20</f>
        <v>10597562</v>
      </c>
      <c r="C113" s="173">
        <f t="shared" si="14"/>
        <v>2329891</v>
      </c>
      <c r="D113" s="173">
        <f t="shared" si="14"/>
        <v>0</v>
      </c>
      <c r="E113" s="173">
        <f t="shared" si="14"/>
        <v>2329891</v>
      </c>
      <c r="F113" s="173">
        <f t="shared" si="14"/>
        <v>2329891</v>
      </c>
      <c r="G113" s="173">
        <f t="shared" si="8"/>
        <v>0</v>
      </c>
      <c r="H113" s="173">
        <f t="shared" si="9"/>
        <v>0</v>
      </c>
    </row>
    <row r="114" spans="2:8">
      <c r="B114" s="173">
        <f t="shared" ref="B114:F114" si="15">+B21</f>
        <v>11036360</v>
      </c>
      <c r="C114" s="173">
        <f t="shared" si="15"/>
        <v>2463991.9700000002</v>
      </c>
      <c r="D114" s="173">
        <f t="shared" si="15"/>
        <v>210753.0299999998</v>
      </c>
      <c r="E114" s="173">
        <f t="shared" si="15"/>
        <v>2674745</v>
      </c>
      <c r="F114" s="173">
        <f t="shared" si="15"/>
        <v>2674745</v>
      </c>
      <c r="G114" s="173">
        <f t="shared" si="8"/>
        <v>0</v>
      </c>
      <c r="H114" s="173">
        <f t="shared" si="9"/>
        <v>210753.0299999998</v>
      </c>
    </row>
    <row r="115" spans="2:8">
      <c r="B115" s="173">
        <f t="shared" ref="B115:F115" si="16">+B22</f>
        <v>11402928</v>
      </c>
      <c r="C115" s="173">
        <f t="shared" si="16"/>
        <v>3156139.46</v>
      </c>
      <c r="D115" s="173">
        <f t="shared" si="16"/>
        <v>475723.54000000004</v>
      </c>
      <c r="E115" s="173">
        <f t="shared" si="16"/>
        <v>3631863</v>
      </c>
      <c r="F115" s="173">
        <f t="shared" si="16"/>
        <v>3631863</v>
      </c>
      <c r="G115" s="173">
        <f t="shared" si="8"/>
        <v>0</v>
      </c>
      <c r="H115" s="173">
        <f t="shared" si="9"/>
        <v>475723.54000000004</v>
      </c>
    </row>
    <row r="116" spans="2:8">
      <c r="B116" s="173">
        <f t="shared" ref="B116:F116" si="17">+B23</f>
        <v>11099580</v>
      </c>
      <c r="C116" s="173">
        <f t="shared" si="17"/>
        <v>6907218</v>
      </c>
      <c r="D116" s="173">
        <f t="shared" si="17"/>
        <v>535550</v>
      </c>
      <c r="E116" s="173">
        <f t="shared" si="17"/>
        <v>7442768</v>
      </c>
      <c r="F116" s="173">
        <f t="shared" si="17"/>
        <v>7442768</v>
      </c>
      <c r="G116" s="173">
        <f t="shared" si="8"/>
        <v>0</v>
      </c>
      <c r="H116" s="173">
        <f t="shared" si="9"/>
        <v>535550</v>
      </c>
    </row>
    <row r="117" spans="2:8">
      <c r="B117" s="173">
        <f t="shared" ref="B117:F117" si="18">+B24</f>
        <v>10683363</v>
      </c>
      <c r="C117" s="173">
        <f t="shared" si="18"/>
        <v>4132680</v>
      </c>
      <c r="D117" s="173">
        <f t="shared" si="18"/>
        <v>1315614</v>
      </c>
      <c r="E117" s="173">
        <f t="shared" si="18"/>
        <v>5448294</v>
      </c>
      <c r="F117" s="173">
        <f t="shared" si="18"/>
        <v>5448294</v>
      </c>
      <c r="G117" s="173">
        <f t="shared" si="8"/>
        <v>0</v>
      </c>
      <c r="H117" s="173">
        <f t="shared" si="9"/>
        <v>1315614</v>
      </c>
    </row>
    <row r="118" spans="2:8">
      <c r="B118" s="173">
        <f t="shared" ref="B118:F118" si="19">+B25</f>
        <v>10430225</v>
      </c>
      <c r="C118" s="173">
        <f t="shared" si="19"/>
        <v>1766812.92</v>
      </c>
      <c r="D118" s="173">
        <f t="shared" si="19"/>
        <v>1144218.08</v>
      </c>
      <c r="E118" s="173">
        <f t="shared" si="19"/>
        <v>2911031</v>
      </c>
      <c r="F118" s="173">
        <f t="shared" si="19"/>
        <v>2911031</v>
      </c>
      <c r="G118" s="173">
        <f t="shared" si="8"/>
        <v>0</v>
      </c>
      <c r="H118" s="173">
        <f t="shared" si="9"/>
        <v>1144218.08</v>
      </c>
    </row>
    <row r="119" spans="2:8">
      <c r="B119" s="173">
        <f t="shared" ref="B119:F119" si="20">+B26</f>
        <v>10106327</v>
      </c>
      <c r="C119" s="173">
        <f t="shared" si="20"/>
        <v>1655619</v>
      </c>
      <c r="D119" s="173">
        <f t="shared" si="20"/>
        <v>1389906</v>
      </c>
      <c r="E119" s="173">
        <f t="shared" si="20"/>
        <v>3045525</v>
      </c>
      <c r="F119" s="173">
        <f t="shared" si="20"/>
        <v>3045525</v>
      </c>
      <c r="G119" s="173">
        <f t="shared" si="8"/>
        <v>0</v>
      </c>
      <c r="H119" s="173">
        <f t="shared" si="9"/>
        <v>1389906</v>
      </c>
    </row>
    <row r="120" spans="2:8">
      <c r="B120" s="173">
        <f t="shared" ref="B120:F120" si="21">+B27</f>
        <v>9889744</v>
      </c>
      <c r="C120" s="173">
        <f t="shared" si="21"/>
        <v>629188</v>
      </c>
      <c r="D120" s="173">
        <f t="shared" si="21"/>
        <v>1768759</v>
      </c>
      <c r="E120" s="173">
        <f t="shared" si="21"/>
        <v>2397947</v>
      </c>
      <c r="F120" s="173">
        <f t="shared" si="21"/>
        <v>2397947</v>
      </c>
      <c r="G120" s="173">
        <f t="shared" si="8"/>
        <v>0</v>
      </c>
      <c r="H120" s="173">
        <f t="shared" si="9"/>
        <v>1768759</v>
      </c>
    </row>
    <row r="121" spans="2:8">
      <c r="B121" s="173">
        <f t="shared" ref="B121:F121" si="22">+B28</f>
        <v>9998035.5</v>
      </c>
      <c r="C121" s="173">
        <f t="shared" si="22"/>
        <v>383397</v>
      </c>
      <c r="D121" s="173">
        <f t="shared" si="22"/>
        <v>1981673</v>
      </c>
      <c r="E121" s="173">
        <f t="shared" si="22"/>
        <v>2365070</v>
      </c>
      <c r="F121" s="173">
        <f t="shared" si="22"/>
        <v>2365070</v>
      </c>
      <c r="G121" s="173">
        <f t="shared" si="8"/>
        <v>0</v>
      </c>
      <c r="H121" s="173">
        <f t="shared" si="9"/>
        <v>1981673</v>
      </c>
    </row>
    <row r="122" spans="2:8">
      <c r="B122" s="173"/>
      <c r="C122" s="173"/>
      <c r="D122" s="173"/>
      <c r="E122" s="173"/>
      <c r="F122" s="173"/>
    </row>
    <row r="123" spans="2:8">
      <c r="B123" s="173">
        <f>+SUM(B107:B121)</f>
        <v>139880468.5</v>
      </c>
      <c r="C123" s="173">
        <f t="shared" ref="C123:H123" si="23">+SUM(C107:C121)</f>
        <v>47438135.420037001</v>
      </c>
      <c r="D123" s="173">
        <f t="shared" si="23"/>
        <v>9577870.8789579999</v>
      </c>
      <c r="E123" s="173">
        <f t="shared" si="23"/>
        <v>57016006.298995003</v>
      </c>
      <c r="F123" s="173">
        <f t="shared" si="23"/>
        <v>57016006.298995003</v>
      </c>
      <c r="G123" s="173">
        <f t="shared" si="23"/>
        <v>0</v>
      </c>
      <c r="H123" s="173">
        <f t="shared" si="23"/>
        <v>9577870.8789579999</v>
      </c>
    </row>
  </sheetData>
  <conditionalFormatting sqref="G14:G30">
    <cfRule type="cellIs" dxfId="1" priority="2" operator="notEqual">
      <formula>G107</formula>
    </cfRule>
  </conditionalFormatting>
  <conditionalFormatting sqref="H14:H30">
    <cfRule type="cellIs" dxfId="0" priority="1" operator="notEqual">
      <formula>H107</formula>
    </cfRule>
  </conditionalFormatting>
  <pageMargins left="0.7" right="0.7" top="0.75" bottom="0.75" header="0.3" footer="0.3"/>
  <pageSetup orientation="portrait" horizontalDpi="4294967292" verticalDpi="0" r:id="rId1"/>
  <ignoredErrors>
    <ignoredError sqref="G14:H28" unlockedFormula="1"/>
  </ignoredErrors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336699"/>
  </sheetPr>
  <dimension ref="A1:J38"/>
  <sheetViews>
    <sheetView showGridLines="0" topLeftCell="A6" workbookViewId="0">
      <selection activeCell="A19" sqref="A19"/>
    </sheetView>
  </sheetViews>
  <sheetFormatPr defaultRowHeight="12.75"/>
  <cols>
    <col min="1" max="1" width="14.5703125" customWidth="1"/>
    <col min="2" max="2" width="20.7109375" customWidth="1"/>
    <col min="3" max="8" width="18.42578125" customWidth="1"/>
    <col min="9" max="9" width="20.42578125" customWidth="1"/>
    <col min="10" max="10" width="18.42578125" customWidth="1"/>
  </cols>
  <sheetData>
    <row r="1" spans="1:10" ht="15.75">
      <c r="A1" s="203" t="s">
        <v>0</v>
      </c>
    </row>
    <row r="2" spans="1:10" ht="15.75">
      <c r="A2" s="204" t="str">
        <f>+"Analysis of Loss &amp; DCC Reserves as of "&amp;TEXT(EvalDate,"mm/dd/yyy")</f>
        <v>Analysis of Loss &amp; DCC Reserves as of 12/31/2016</v>
      </c>
    </row>
    <row r="3" spans="1:10" ht="15.75">
      <c r="A3" s="205" t="str">
        <f>+LOB</f>
        <v>Liability</v>
      </c>
    </row>
    <row r="5" spans="1:10" ht="15.75">
      <c r="A5" s="104" t="s">
        <v>136</v>
      </c>
    </row>
    <row r="6" spans="1:10" ht="16.5" thickBot="1">
      <c r="A6" s="73"/>
      <c r="B6" s="167"/>
      <c r="C6" s="167"/>
      <c r="D6" s="167"/>
      <c r="E6" s="167"/>
      <c r="F6" s="167"/>
      <c r="G6" s="167"/>
      <c r="H6" s="167"/>
      <c r="I6" s="167"/>
      <c r="J6" s="167"/>
    </row>
    <row r="7" spans="1:10" ht="15.75">
      <c r="A7" s="168"/>
      <c r="B7" s="82"/>
      <c r="C7" s="174"/>
      <c r="D7" s="174"/>
      <c r="E7" s="175" t="s">
        <v>160</v>
      </c>
      <c r="F7" s="174"/>
      <c r="G7" s="175" t="s">
        <v>161</v>
      </c>
      <c r="H7" s="174"/>
      <c r="I7" s="175" t="s">
        <v>162</v>
      </c>
      <c r="J7" s="175" t="s">
        <v>163</v>
      </c>
    </row>
    <row r="8" spans="1:10" ht="15.75">
      <c r="A8" s="168"/>
      <c r="B8" s="176" t="s">
        <v>45</v>
      </c>
      <c r="C8" s="177" t="s">
        <v>46</v>
      </c>
      <c r="D8" s="79" t="s">
        <v>47</v>
      </c>
      <c r="E8" s="178" t="s">
        <v>48</v>
      </c>
      <c r="F8" s="179" t="s">
        <v>49</v>
      </c>
      <c r="G8" s="178" t="s">
        <v>50</v>
      </c>
      <c r="H8" s="179" t="s">
        <v>51</v>
      </c>
      <c r="I8" s="78" t="s">
        <v>87</v>
      </c>
      <c r="J8" s="180" t="s">
        <v>104</v>
      </c>
    </row>
    <row r="9" spans="1:10" ht="15.75">
      <c r="A9" s="170"/>
      <c r="B9" s="86"/>
      <c r="C9" s="181"/>
      <c r="D9" s="83"/>
      <c r="E9" s="182" t="str">
        <f>D10</f>
        <v>IBNR</v>
      </c>
      <c r="F9" s="181"/>
      <c r="G9" s="182" t="s">
        <v>73</v>
      </c>
      <c r="H9" s="181"/>
      <c r="I9" s="76"/>
      <c r="J9" s="183"/>
    </row>
    <row r="10" spans="1:10" ht="15.75">
      <c r="A10" s="86" t="str">
        <f>'[1]Exercise 6 - Paid-Ldfs'!A10</f>
        <v>Accident</v>
      </c>
      <c r="B10" s="86" t="s">
        <v>143</v>
      </c>
      <c r="C10" s="184" t="s">
        <v>112</v>
      </c>
      <c r="D10" s="83" t="s">
        <v>89</v>
      </c>
      <c r="E10" s="182" t="s">
        <v>126</v>
      </c>
      <c r="F10" s="184" t="s">
        <v>73</v>
      </c>
      <c r="G10" s="182" t="str">
        <f>F11</f>
        <v>Loss</v>
      </c>
      <c r="H10" s="184" t="s">
        <v>73</v>
      </c>
      <c r="I10" s="83" t="s">
        <v>73</v>
      </c>
      <c r="J10" s="182" t="s">
        <v>73</v>
      </c>
    </row>
    <row r="11" spans="1:10" ht="15.75">
      <c r="A11" s="87" t="s">
        <v>5</v>
      </c>
      <c r="B11" s="87" t="s">
        <v>58</v>
      </c>
      <c r="C11" s="185" t="str">
        <f>'[1]Exercise 15 - Ult Loss Select'!D18</f>
        <v>Reserves</v>
      </c>
      <c r="D11" s="87" t="s">
        <v>56</v>
      </c>
      <c r="E11" s="186" t="str">
        <f>C10</f>
        <v>Case</v>
      </c>
      <c r="F11" s="185" t="str">
        <f>'[1]Exercise 15 - Ult Loss Select'!C18</f>
        <v>Loss</v>
      </c>
      <c r="G11" s="186" t="s">
        <v>62</v>
      </c>
      <c r="H11" s="185" t="s">
        <v>76</v>
      </c>
      <c r="I11" s="87" t="s">
        <v>75</v>
      </c>
      <c r="J11" s="186" t="s">
        <v>127</v>
      </c>
    </row>
    <row r="12" spans="1:10">
      <c r="A12" s="89"/>
      <c r="B12" s="187"/>
      <c r="C12" s="188"/>
      <c r="D12" s="90"/>
      <c r="E12" s="189"/>
      <c r="F12" s="188"/>
      <c r="G12" s="189"/>
      <c r="H12" s="188"/>
      <c r="I12" s="90"/>
      <c r="J12" s="189"/>
    </row>
    <row r="13" spans="1:10" ht="15">
      <c r="A13" s="49">
        <f t="shared" ref="A13:A25" si="0">+A14-1</f>
        <v>2002</v>
      </c>
      <c r="B13" s="190">
        <f>+'Input Data'!C14</f>
        <v>6953372</v>
      </c>
      <c r="C13" s="191">
        <f>'[1]Exercise 15 - Ult Loss Select'!D20</f>
        <v>164371.90895800013</v>
      </c>
      <c r="D13" s="111">
        <f>'Exercise 15 - Ult Loss Select'!L17-'Exercise 15 - Ult Loss Select'!E17</f>
        <v>0</v>
      </c>
      <c r="E13" s="192">
        <f>IF(C13&gt;0,D13/C13,0)</f>
        <v>0</v>
      </c>
      <c r="F13" s="215">
        <f>'Exercise 15 - Ult Loss Select'!L17</f>
        <v>4230708.2989949994</v>
      </c>
      <c r="G13" s="192">
        <f>F13/B13</f>
        <v>0.60843980431292899</v>
      </c>
      <c r="H13" s="191">
        <f>+'Rpt Claim Dev'!E17</f>
        <v>522</v>
      </c>
      <c r="I13" s="193">
        <f>+H13/(B13/100000)</f>
        <v>7.507149049410847</v>
      </c>
      <c r="J13" s="218">
        <f>IF(H13=0,0,F13/H13)</f>
        <v>8104.8051704885047</v>
      </c>
    </row>
    <row r="14" spans="1:10" ht="15">
      <c r="A14" s="49">
        <f t="shared" si="0"/>
        <v>2003</v>
      </c>
      <c r="B14" s="190">
        <f>+'Input Data'!C15</f>
        <v>6567116</v>
      </c>
      <c r="C14" s="191">
        <f>'[1]Exercise 15 - Ult Loss Select'!D21</f>
        <v>49522.540000000503</v>
      </c>
      <c r="D14" s="111">
        <f>'Exercise 15 - Ult Loss Select'!L18-'Exercise 15 - Ult Loss Select'!E18</f>
        <v>0</v>
      </c>
      <c r="E14" s="192">
        <f t="shared" ref="E14:E27" si="1">IF(C14&gt;0,D14/C14,0)</f>
        <v>0</v>
      </c>
      <c r="F14" s="215">
        <f>'Exercise 15 - Ult Loss Select'!L18</f>
        <v>3320551.0000000005</v>
      </c>
      <c r="G14" s="192">
        <f t="shared" ref="G14:G27" si="2">F14/B14</f>
        <v>0.50563306632622307</v>
      </c>
      <c r="H14" s="191">
        <f>+'Rpt Claim Dev'!E18</f>
        <v>528</v>
      </c>
      <c r="I14" s="193">
        <f t="shared" ref="I14:I27" si="3">+H14/(B14/100000)</f>
        <v>8.0400589847963708</v>
      </c>
      <c r="J14" s="218">
        <f t="shared" ref="J14:J27" si="4">IF(H14=0,0,F14/H14)</f>
        <v>6288.922348484849</v>
      </c>
    </row>
    <row r="15" spans="1:10" ht="15">
      <c r="A15" s="49">
        <f t="shared" si="0"/>
        <v>2004</v>
      </c>
      <c r="B15" s="190">
        <f>+'Input Data'!C16</f>
        <v>6690146</v>
      </c>
      <c r="C15" s="191">
        <f>'[1]Exercise 15 - Ult Loss Select'!D22</f>
        <v>35227</v>
      </c>
      <c r="D15" s="111">
        <f>'Exercise 15 - Ult Loss Select'!L19-'Exercise 15 - Ult Loss Select'!E19</f>
        <v>0</v>
      </c>
      <c r="E15" s="192">
        <f t="shared" si="1"/>
        <v>0</v>
      </c>
      <c r="F15" s="215">
        <f>'Exercise 15 - Ult Loss Select'!L19</f>
        <v>4622140</v>
      </c>
      <c r="G15" s="192">
        <f t="shared" si="2"/>
        <v>0.69088776238963989</v>
      </c>
      <c r="H15" s="191">
        <f>+'Rpt Claim Dev'!E19</f>
        <v>514</v>
      </c>
      <c r="I15" s="193">
        <f t="shared" si="3"/>
        <v>7.6829414485124836</v>
      </c>
      <c r="J15" s="218">
        <f t="shared" si="4"/>
        <v>8992.4902723735413</v>
      </c>
    </row>
    <row r="16" spans="1:10" ht="15">
      <c r="A16" s="49">
        <f t="shared" si="0"/>
        <v>2005</v>
      </c>
      <c r="B16" s="190">
        <f>+'Input Data'!C17</f>
        <v>7103262.0000000009</v>
      </c>
      <c r="C16" s="191">
        <f>'[1]Exercise 15 - Ult Loss Select'!D23</f>
        <v>73106.779999999329</v>
      </c>
      <c r="D16" s="111">
        <f>'Exercise 15 - Ult Loss Select'!L20-'Exercise 15 - Ult Loss Select'!E20</f>
        <v>0</v>
      </c>
      <c r="E16" s="192">
        <f t="shared" si="1"/>
        <v>0</v>
      </c>
      <c r="F16" s="215">
        <f>'Exercise 15 - Ult Loss Select'!L20</f>
        <v>4629843.9999999991</v>
      </c>
      <c r="G16" s="192">
        <f t="shared" si="2"/>
        <v>0.65179124745785788</v>
      </c>
      <c r="H16" s="191">
        <f>+'Rpt Claim Dev'!E20</f>
        <v>530.33909149072292</v>
      </c>
      <c r="I16" s="193">
        <f t="shared" si="3"/>
        <v>7.4661344533078307</v>
      </c>
      <c r="J16" s="218">
        <f t="shared" si="4"/>
        <v>8729.9693239395838</v>
      </c>
    </row>
    <row r="17" spans="1:10" ht="15">
      <c r="A17" s="49">
        <f t="shared" si="0"/>
        <v>2006</v>
      </c>
      <c r="B17" s="190">
        <f>+'Input Data'!C18</f>
        <v>7959030</v>
      </c>
      <c r="C17" s="191">
        <f>'[1]Exercise 15 - Ult Loss Select'!D24</f>
        <v>363441.50999999978</v>
      </c>
      <c r="D17" s="111">
        <f>'Exercise 15 - Ult Loss Select'!L21-'Exercise 15 - Ult Loss Select'!E21</f>
        <v>0</v>
      </c>
      <c r="E17" s="192">
        <f t="shared" si="1"/>
        <v>0</v>
      </c>
      <c r="F17" s="215">
        <f>'Exercise 15 - Ult Loss Select'!L21</f>
        <v>4721272</v>
      </c>
      <c r="G17" s="192">
        <f t="shared" si="2"/>
        <v>0.59319690967366623</v>
      </c>
      <c r="H17" s="191">
        <f>+'Rpt Claim Dev'!E21</f>
        <v>562.35956493921947</v>
      </c>
      <c r="I17" s="193">
        <f t="shared" si="3"/>
        <v>7.0656796737695355</v>
      </c>
      <c r="J17" s="218">
        <f t="shared" si="4"/>
        <v>8395.468476668093</v>
      </c>
    </row>
    <row r="18" spans="1:10" ht="15">
      <c r="A18" s="49">
        <f t="shared" si="0"/>
        <v>2007</v>
      </c>
      <c r="B18" s="190">
        <f>+'Input Data'!C19</f>
        <v>9363418</v>
      </c>
      <c r="C18" s="191">
        <f>'[1]Exercise 15 - Ult Loss Select'!D25</f>
        <v>70004.490000000224</v>
      </c>
      <c r="D18" s="111">
        <f>'Exercise 15 - Ult Loss Select'!L22-'Exercise 15 - Ult Loss Select'!E22</f>
        <v>0</v>
      </c>
      <c r="E18" s="192">
        <f t="shared" si="1"/>
        <v>0</v>
      </c>
      <c r="F18" s="215">
        <f>'Exercise 15 - Ult Loss Select'!L22</f>
        <v>3244357</v>
      </c>
      <c r="G18" s="192">
        <f t="shared" si="2"/>
        <v>0.34649280850219438</v>
      </c>
      <c r="H18" s="191">
        <f>+'Rpt Claim Dev'!E22</f>
        <v>434.44130252094754</v>
      </c>
      <c r="I18" s="193">
        <f t="shared" si="3"/>
        <v>4.6397725971535984</v>
      </c>
      <c r="J18" s="218">
        <f t="shared" si="4"/>
        <v>7467.8834198632994</v>
      </c>
    </row>
    <row r="19" spans="1:10" ht="15">
      <c r="A19" s="49">
        <f t="shared" si="0"/>
        <v>2008</v>
      </c>
      <c r="B19" s="190">
        <f>+'Input Data'!C20</f>
        <v>10597562</v>
      </c>
      <c r="C19" s="191">
        <f>'[1]Exercise 15 - Ult Loss Select'!D26</f>
        <v>0</v>
      </c>
      <c r="D19" s="111">
        <f>'Exercise 15 - Ult Loss Select'!L23-'Exercise 15 - Ult Loss Select'!E23</f>
        <v>0</v>
      </c>
      <c r="E19" s="192">
        <f t="shared" si="1"/>
        <v>0</v>
      </c>
      <c r="F19" s="215">
        <f>'Exercise 15 - Ult Loss Select'!L23</f>
        <v>2329891</v>
      </c>
      <c r="G19" s="192">
        <f t="shared" si="2"/>
        <v>0.21985160360467812</v>
      </c>
      <c r="H19" s="191">
        <f>+'Rpt Claim Dev'!E23</f>
        <v>473.94139403039583</v>
      </c>
      <c r="I19" s="193">
        <f t="shared" si="3"/>
        <v>4.4721738266819839</v>
      </c>
      <c r="J19" s="218">
        <f t="shared" si="4"/>
        <v>4915.9896758259829</v>
      </c>
    </row>
    <row r="20" spans="1:10" ht="15">
      <c r="A20" s="49">
        <f t="shared" si="0"/>
        <v>2009</v>
      </c>
      <c r="B20" s="190">
        <f>+'Input Data'!C21</f>
        <v>11036360</v>
      </c>
      <c r="C20" s="191">
        <f>'[1]Exercise 15 - Ult Loss Select'!D27</f>
        <v>210753.0299999998</v>
      </c>
      <c r="D20" s="111">
        <f>'Exercise 15 - Ult Loss Select'!L24-'Exercise 15 - Ult Loss Select'!E24</f>
        <v>0</v>
      </c>
      <c r="E20" s="192">
        <f t="shared" si="1"/>
        <v>0</v>
      </c>
      <c r="F20" s="215">
        <f>'Exercise 15 - Ult Loss Select'!L24</f>
        <v>2674745</v>
      </c>
      <c r="G20" s="192">
        <f t="shared" si="2"/>
        <v>0.24235753454943479</v>
      </c>
      <c r="H20" s="191">
        <f>+'Rpt Claim Dev'!E24</f>
        <v>502.56211531897139</v>
      </c>
      <c r="I20" s="193">
        <f t="shared" si="3"/>
        <v>4.5536944728059918</v>
      </c>
      <c r="J20" s="218">
        <f t="shared" si="4"/>
        <v>5322.2177288520143</v>
      </c>
    </row>
    <row r="21" spans="1:10" ht="15">
      <c r="A21" s="49">
        <f t="shared" si="0"/>
        <v>2010</v>
      </c>
      <c r="B21" s="190">
        <f>+'Input Data'!C22</f>
        <v>11402928</v>
      </c>
      <c r="C21" s="191">
        <f>'[1]Exercise 15 - Ult Loss Select'!D28</f>
        <v>475723.54000000004</v>
      </c>
      <c r="D21" s="111">
        <f>'Exercise 15 - Ult Loss Select'!L25-'Exercise 15 - Ult Loss Select'!E25</f>
        <v>0</v>
      </c>
      <c r="E21" s="192">
        <f t="shared" si="1"/>
        <v>0</v>
      </c>
      <c r="F21" s="215">
        <f>'Exercise 15 - Ult Loss Select'!L25</f>
        <v>3631863</v>
      </c>
      <c r="G21" s="192">
        <f t="shared" si="2"/>
        <v>0.31850266878822703</v>
      </c>
      <c r="H21" s="191">
        <f>+'Rpt Claim Dev'!E25</f>
        <v>509.27157388028905</v>
      </c>
      <c r="I21" s="193">
        <f t="shared" si="3"/>
        <v>4.4661474130178584</v>
      </c>
      <c r="J21" s="218">
        <f t="shared" si="4"/>
        <v>7131.4858049660488</v>
      </c>
    </row>
    <row r="22" spans="1:10" ht="15">
      <c r="A22" s="49">
        <f t="shared" si="0"/>
        <v>2011</v>
      </c>
      <c r="B22" s="190">
        <f>+'Input Data'!C23</f>
        <v>11099580</v>
      </c>
      <c r="C22" s="191">
        <f>'[1]Exercise 15 - Ult Loss Select'!D29</f>
        <v>535550</v>
      </c>
      <c r="D22" s="111">
        <f>'Exercise 15 - Ult Loss Select'!L26-'Exercise 15 - Ult Loss Select'!E26</f>
        <v>0</v>
      </c>
      <c r="E22" s="192">
        <f t="shared" si="1"/>
        <v>0</v>
      </c>
      <c r="F22" s="215">
        <f>'Exercise 15 - Ult Loss Select'!L26</f>
        <v>7442768</v>
      </c>
      <c r="G22" s="192">
        <f t="shared" si="2"/>
        <v>0.67054501161305202</v>
      </c>
      <c r="H22" s="191">
        <f>+'Rpt Claim Dev'!E26</f>
        <v>455.32942003025966</v>
      </c>
      <c r="I22" s="193">
        <f t="shared" si="3"/>
        <v>4.1022220663327769</v>
      </c>
      <c r="J22" s="218">
        <f t="shared" si="4"/>
        <v>16345.897437300184</v>
      </c>
    </row>
    <row r="23" spans="1:10" ht="15">
      <c r="A23" s="49">
        <f t="shared" si="0"/>
        <v>2012</v>
      </c>
      <c r="B23" s="190">
        <f>+'Input Data'!C24</f>
        <v>10683363</v>
      </c>
      <c r="C23" s="191">
        <f>'[1]Exercise 15 - Ult Loss Select'!D30</f>
        <v>1315614</v>
      </c>
      <c r="D23" s="111">
        <f>'Exercise 15 - Ult Loss Select'!L27-'Exercise 15 - Ult Loss Select'!E27</f>
        <v>0</v>
      </c>
      <c r="E23" s="192">
        <f t="shared" si="1"/>
        <v>0</v>
      </c>
      <c r="F23" s="215">
        <f>'Exercise 15 - Ult Loss Select'!L27</f>
        <v>5448294</v>
      </c>
      <c r="G23" s="192">
        <f t="shared" si="2"/>
        <v>0.50997930146153414</v>
      </c>
      <c r="H23" s="191">
        <f>+'Rpt Claim Dev'!E27</f>
        <v>498.09258324222122</v>
      </c>
      <c r="I23" s="193">
        <f t="shared" si="3"/>
        <v>4.6623201256216911</v>
      </c>
      <c r="J23" s="218">
        <f t="shared" si="4"/>
        <v>10938.315853923301</v>
      </c>
    </row>
    <row r="24" spans="1:10" ht="15">
      <c r="A24" s="49">
        <f t="shared" si="0"/>
        <v>2013</v>
      </c>
      <c r="B24" s="190">
        <f>+'Input Data'!C25</f>
        <v>10430225</v>
      </c>
      <c r="C24" s="191">
        <f>'[1]Exercise 15 - Ult Loss Select'!D31</f>
        <v>1144218.08</v>
      </c>
      <c r="D24" s="111">
        <f>'Exercise 15 - Ult Loss Select'!L28-'Exercise 15 - Ult Loss Select'!E28</f>
        <v>0</v>
      </c>
      <c r="E24" s="192">
        <f t="shared" si="1"/>
        <v>0</v>
      </c>
      <c r="F24" s="215">
        <f>'Exercise 15 - Ult Loss Select'!L28</f>
        <v>2911031</v>
      </c>
      <c r="G24" s="192">
        <f t="shared" si="2"/>
        <v>0.27909570503033254</v>
      </c>
      <c r="H24" s="191">
        <f>+'Rpt Claim Dev'!E28</f>
        <v>477.46104819143528</v>
      </c>
      <c r="I24" s="193">
        <f t="shared" si="3"/>
        <v>4.5776677702679978</v>
      </c>
      <c r="J24" s="218">
        <f t="shared" si="4"/>
        <v>6096.8973511590812</v>
      </c>
    </row>
    <row r="25" spans="1:10" ht="15">
      <c r="A25" s="49">
        <f t="shared" si="0"/>
        <v>2014</v>
      </c>
      <c r="B25" s="190">
        <f>+'Input Data'!C26</f>
        <v>10106327</v>
      </c>
      <c r="C25" s="191">
        <f>'[1]Exercise 15 - Ult Loss Select'!D32</f>
        <v>1389906</v>
      </c>
      <c r="D25" s="111">
        <f>'Exercise 15 - Ult Loss Select'!L29-'Exercise 15 - Ult Loss Select'!E29</f>
        <v>0</v>
      </c>
      <c r="E25" s="192">
        <f t="shared" si="1"/>
        <v>0</v>
      </c>
      <c r="F25" s="215">
        <f>'Exercise 15 - Ult Loss Select'!L29</f>
        <v>3045525</v>
      </c>
      <c r="G25" s="192">
        <f t="shared" si="2"/>
        <v>0.30134835336319515</v>
      </c>
      <c r="H25" s="191">
        <f>+'Rpt Claim Dev'!E29</f>
        <v>458.93971594618034</v>
      </c>
      <c r="I25" s="193">
        <f t="shared" si="3"/>
        <v>4.5411128686631681</v>
      </c>
      <c r="J25" s="218">
        <f t="shared" si="4"/>
        <v>6636.0022769464285</v>
      </c>
    </row>
    <row r="26" spans="1:10" ht="15">
      <c r="A26" s="49">
        <f>+A27-1</f>
        <v>2015</v>
      </c>
      <c r="B26" s="190">
        <f>+'Input Data'!C27</f>
        <v>9889744</v>
      </c>
      <c r="C26" s="191">
        <f>'[1]Exercise 15 - Ult Loss Select'!D33</f>
        <v>1768759</v>
      </c>
      <c r="D26" s="111">
        <f>'Exercise 15 - Ult Loss Select'!L30-'Exercise 15 - Ult Loss Select'!E30</f>
        <v>0</v>
      </c>
      <c r="E26" s="192">
        <f t="shared" si="1"/>
        <v>0</v>
      </c>
      <c r="F26" s="215">
        <f>'Exercise 15 - Ult Loss Select'!L30</f>
        <v>2397947</v>
      </c>
      <c r="G26" s="192">
        <f t="shared" si="2"/>
        <v>0.24246805579598421</v>
      </c>
      <c r="H26" s="191">
        <f>+'Rpt Claim Dev'!E30</f>
        <v>412.27313015464495</v>
      </c>
      <c r="I26" s="193">
        <f t="shared" si="3"/>
        <v>4.1686936502567198</v>
      </c>
      <c r="J26" s="218">
        <f t="shared" si="4"/>
        <v>5816.4037978912729</v>
      </c>
    </row>
    <row r="27" spans="1:10" ht="15">
      <c r="A27" s="49">
        <f>+EndYear</f>
        <v>2016</v>
      </c>
      <c r="B27" s="190">
        <f>+'Input Data'!C28</f>
        <v>9998035.5</v>
      </c>
      <c r="C27" s="191">
        <f>'[1]Exercise 15 - Ult Loss Select'!D34</f>
        <v>1981673</v>
      </c>
      <c r="D27" s="111">
        <f>'Exercise 15 - Ult Loss Select'!L31-'Exercise 15 - Ult Loss Select'!E31</f>
        <v>0</v>
      </c>
      <c r="E27" s="192">
        <f t="shared" si="1"/>
        <v>0</v>
      </c>
      <c r="F27" s="215">
        <f>'Exercise 15 - Ult Loss Select'!L31</f>
        <v>2365070</v>
      </c>
      <c r="G27" s="192">
        <f t="shared" si="2"/>
        <v>0.23655347092936407</v>
      </c>
      <c r="H27" s="191">
        <f>+'Rpt Claim Dev'!E31</f>
        <v>391.61891490850439</v>
      </c>
      <c r="I27" s="193">
        <f t="shared" si="3"/>
        <v>3.9169586356090091</v>
      </c>
      <c r="J27" s="218">
        <f t="shared" si="4"/>
        <v>6039.2128928516167</v>
      </c>
    </row>
    <row r="28" spans="1:10">
      <c r="A28" s="89"/>
      <c r="B28" s="145"/>
      <c r="C28" s="194"/>
      <c r="D28" s="171"/>
      <c r="E28" s="195"/>
      <c r="F28" s="216"/>
      <c r="G28" s="196"/>
      <c r="H28" s="194"/>
      <c r="I28" s="197"/>
      <c r="J28" s="219"/>
    </row>
    <row r="29" spans="1:10" ht="16.5" thickBot="1">
      <c r="A29" s="172" t="str">
        <f>'[1]Exercise 15 - Ult Loss Select'!A36</f>
        <v>Total</v>
      </c>
      <c r="B29" s="198">
        <f>SUM(B12:B28)</f>
        <v>139880468.5</v>
      </c>
      <c r="C29" s="199">
        <f>SUM(C12:C28)</f>
        <v>9577870.8789579999</v>
      </c>
      <c r="D29" s="200">
        <f>SUM(D12:D28)</f>
        <v>0</v>
      </c>
      <c r="E29" s="201">
        <f>IF(C29&gt;0,D29/C29,0)</f>
        <v>0</v>
      </c>
      <c r="F29" s="217">
        <f>SUM(F12:F28)</f>
        <v>57016006.298995003</v>
      </c>
      <c r="G29" s="201">
        <f>F29/B29</f>
        <v>0.40760519971374704</v>
      </c>
      <c r="H29" s="199">
        <f>SUM(H12:H28)</f>
        <v>7270.629854653791</v>
      </c>
      <c r="I29" s="202">
        <f>H29/(B29/100000)</f>
        <v>5.1977448550322736</v>
      </c>
      <c r="J29" s="220">
        <f>F29/H29</f>
        <v>7841.9624487554056</v>
      </c>
    </row>
    <row r="30" spans="1:10" ht="15.75">
      <c r="E30" s="73"/>
    </row>
    <row r="31" spans="1:10" ht="15.75">
      <c r="E31" s="73"/>
    </row>
    <row r="32" spans="1:10" ht="15.75">
      <c r="E32" s="73"/>
    </row>
    <row r="33" spans="5:5">
      <c r="E33" s="173"/>
    </row>
    <row r="34" spans="5:5">
      <c r="E34" s="173"/>
    </row>
    <row r="35" spans="5:5">
      <c r="E35" s="173"/>
    </row>
    <row r="36" spans="5:5">
      <c r="E36" s="173"/>
    </row>
    <row r="37" spans="5:5">
      <c r="E37" s="173"/>
    </row>
    <row r="38" spans="5:5">
      <c r="E38" s="173"/>
    </row>
  </sheetData>
  <pageMargins left="0.7" right="0.7" top="0.75" bottom="0.75" header="0.3" footer="0.3"/>
  <ignoredErrors>
    <ignoredError sqref="B8:J8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336699"/>
  </sheetPr>
  <dimension ref="A1:I110"/>
  <sheetViews>
    <sheetView showGridLines="0" tabSelected="1" topLeftCell="A8" workbookViewId="0">
      <selection activeCell="H38" sqref="H38"/>
    </sheetView>
  </sheetViews>
  <sheetFormatPr defaultRowHeight="12.75"/>
  <cols>
    <col min="1" max="6" width="22.42578125" customWidth="1"/>
    <col min="7" max="7" width="18.140625" customWidth="1"/>
    <col min="8" max="8" width="22.42578125" customWidth="1"/>
    <col min="9" max="13" width="14.5703125" customWidth="1"/>
  </cols>
  <sheetData>
    <row r="1" spans="1:9" ht="15.75">
      <c r="A1" s="203" t="s">
        <v>0</v>
      </c>
    </row>
    <row r="2" spans="1:9" ht="15.75">
      <c r="A2" s="204" t="str">
        <f>+"Analysis of Loss &amp; DCC Reserves as of "&amp;TEXT(EvalDate,"mm/dd/yyy")</f>
        <v>Analysis of Loss &amp; DCC Reserves as of 12/31/2016</v>
      </c>
    </row>
    <row r="3" spans="1:9" ht="15.75">
      <c r="A3" s="205" t="str">
        <f>+LOB</f>
        <v>Liability</v>
      </c>
    </row>
    <row r="5" spans="1:9" ht="15.75">
      <c r="A5" s="104" t="s">
        <v>147</v>
      </c>
    </row>
    <row r="6" spans="1:9" ht="15.75">
      <c r="A6" s="104"/>
    </row>
    <row r="7" spans="1:9" ht="15.75">
      <c r="A7" s="104"/>
    </row>
    <row r="8" spans="1:9" ht="15.75">
      <c r="A8" s="104"/>
    </row>
    <row r="9" spans="1:9" ht="15.75">
      <c r="A9" s="73"/>
    </row>
    <row r="10" spans="1:9" ht="15.75">
      <c r="A10" s="73"/>
      <c r="B10" s="167"/>
      <c r="C10" s="167"/>
      <c r="D10" s="167"/>
      <c r="E10" s="167"/>
      <c r="F10" s="167"/>
      <c r="G10" s="167"/>
      <c r="H10" s="167"/>
      <c r="I10" s="167"/>
    </row>
    <row r="11" spans="1:9" ht="15.75">
      <c r="A11" s="168"/>
      <c r="B11" s="76"/>
      <c r="C11" s="76"/>
      <c r="D11" s="76"/>
      <c r="E11" s="169" t="s">
        <v>124</v>
      </c>
      <c r="F11" s="76"/>
      <c r="G11" s="76"/>
      <c r="H11" s="76"/>
      <c r="I11" s="76"/>
    </row>
    <row r="12" spans="1:9" ht="15.75">
      <c r="A12" s="168"/>
      <c r="B12" s="79" t="s">
        <v>45</v>
      </c>
      <c r="C12" s="78" t="s">
        <v>46</v>
      </c>
      <c r="D12" s="80" t="s">
        <v>47</v>
      </c>
      <c r="E12" s="79" t="s">
        <v>48</v>
      </c>
      <c r="F12" s="79" t="s">
        <v>49</v>
      </c>
      <c r="G12" s="79" t="s">
        <v>50</v>
      </c>
      <c r="H12" s="79" t="s">
        <v>51</v>
      </c>
      <c r="I12" s="79" t="s">
        <v>87</v>
      </c>
    </row>
    <row r="13" spans="1:9" ht="15.75">
      <c r="A13" s="170"/>
      <c r="B13" s="83"/>
      <c r="C13" s="76"/>
      <c r="D13" s="76"/>
      <c r="E13" s="83"/>
      <c r="F13" s="83" t="s">
        <v>125</v>
      </c>
      <c r="G13" s="83" t="s">
        <v>89</v>
      </c>
      <c r="H13" s="83" t="s">
        <v>63</v>
      </c>
      <c r="I13" s="83" t="s">
        <v>63</v>
      </c>
    </row>
    <row r="14" spans="1:9" ht="15.75">
      <c r="A14" s="86" t="str">
        <f>'[1]Exercise 6 - Paid-Ldfs'!A10</f>
        <v>Accident</v>
      </c>
      <c r="B14" s="86" t="s">
        <v>143</v>
      </c>
      <c r="C14" s="83" t="s">
        <v>52</v>
      </c>
      <c r="D14" s="78" t="s">
        <v>146</v>
      </c>
      <c r="E14" s="83" t="s">
        <v>64</v>
      </c>
      <c r="F14" s="83" t="s">
        <v>73</v>
      </c>
      <c r="G14" s="83" t="s">
        <v>144</v>
      </c>
      <c r="H14" s="78" t="s">
        <v>145</v>
      </c>
      <c r="I14" s="78" t="s">
        <v>145</v>
      </c>
    </row>
    <row r="15" spans="1:9" ht="15.75">
      <c r="A15" s="87" t="s">
        <v>5</v>
      </c>
      <c r="B15" s="87" t="s">
        <v>58</v>
      </c>
      <c r="C15" s="87" t="s">
        <v>144</v>
      </c>
      <c r="D15" s="87" t="s">
        <v>56</v>
      </c>
      <c r="E15" s="87" t="s">
        <v>144</v>
      </c>
      <c r="F15" s="87" t="s">
        <v>144</v>
      </c>
      <c r="G15" s="87" t="s">
        <v>56</v>
      </c>
      <c r="H15" s="87" t="str">
        <f>G15</f>
        <v>Reserves</v>
      </c>
      <c r="I15" s="280" t="s">
        <v>82</v>
      </c>
    </row>
    <row r="16" spans="1:9">
      <c r="A16" s="89"/>
      <c r="B16" s="90"/>
      <c r="C16" s="90"/>
      <c r="D16" s="90"/>
      <c r="E16" s="90"/>
      <c r="F16" s="90"/>
      <c r="G16" s="90"/>
      <c r="H16" s="90"/>
      <c r="I16" s="90"/>
    </row>
    <row r="17" spans="1:9">
      <c r="A17" s="89">
        <f t="shared" ref="A17:A29" si="0">+A18-1</f>
        <v>2002</v>
      </c>
      <c r="B17" s="111">
        <f>+'Input Data'!C14</f>
        <v>6953372</v>
      </c>
      <c r="C17" s="263">
        <f>'Exercise 15 - Ult Loss Select'!C17+'Exercise 15 - Ult DCC Select'!B17</f>
        <v>4785562.3140369989</v>
      </c>
      <c r="D17" s="263">
        <f>+'Exercise 15 - Ult Loss Select'!D17</f>
        <v>164371.90895800013</v>
      </c>
      <c r="E17" s="263">
        <f>+C17+D17</f>
        <v>4949934.222994999</v>
      </c>
      <c r="F17" s="263">
        <f>4230708.298995+'Exercise 15 - Ult DCC Select'!G17</f>
        <v>4590321.2609950006</v>
      </c>
      <c r="G17" s="235">
        <f>+F17-E17</f>
        <v>-359612.96199999843</v>
      </c>
      <c r="H17" s="235">
        <f>+F17-C17</f>
        <v>-195241.0530419983</v>
      </c>
      <c r="I17" s="312">
        <f>+F17/B17</f>
        <v>0.66015758411818048</v>
      </c>
    </row>
    <row r="18" spans="1:9">
      <c r="A18" s="89">
        <f t="shared" si="0"/>
        <v>2003</v>
      </c>
      <c r="B18" s="111">
        <f>+'Input Data'!C15</f>
        <v>6567116</v>
      </c>
      <c r="C18" s="263">
        <f>'Exercise 15 - Ult Loss Select'!C18+'Exercise 15 - Ult DCC Select'!B18</f>
        <v>4129458.2199999997</v>
      </c>
      <c r="D18" s="263">
        <f>+'Exercise 15 - Ult Loss Select'!D18</f>
        <v>49522.540000000503</v>
      </c>
      <c r="E18" s="263">
        <f t="shared" ref="E18:E31" si="1">+C18+D18</f>
        <v>4178980.7600000002</v>
      </c>
      <c r="F18" s="263">
        <f>+'Exercise 15 - Ult Loss Select'!L18+'Exercise 15 - Ult DCC Select'!G18</f>
        <v>3749765.8800000004</v>
      </c>
      <c r="G18" s="235">
        <f t="shared" ref="G18:G31" si="2">+F18-E18</f>
        <v>-429214.87999999989</v>
      </c>
      <c r="H18" s="235">
        <f t="shared" ref="H18:H31" si="3">+F18-C18</f>
        <v>-379692.33999999939</v>
      </c>
      <c r="I18" s="312">
        <f t="shared" ref="I18:I31" si="4">+F18/B18</f>
        <v>0.57099126618138007</v>
      </c>
    </row>
    <row r="19" spans="1:9">
      <c r="A19" s="89">
        <f t="shared" si="0"/>
        <v>2004</v>
      </c>
      <c r="B19" s="111">
        <f>+'Input Data'!C16</f>
        <v>6690146</v>
      </c>
      <c r="C19" s="263">
        <f>'Exercise 15 - Ult Loss Select'!C19+'Exercise 15 - Ult DCC Select'!B19</f>
        <v>5457362.4063999997</v>
      </c>
      <c r="D19" s="263">
        <f>+'Exercise 15 - Ult Loss Select'!D19</f>
        <v>35227</v>
      </c>
      <c r="E19" s="263">
        <f t="shared" si="1"/>
        <v>5492589.4063999997</v>
      </c>
      <c r="F19" s="263">
        <f>+'Exercise 15 - Ult Loss Select'!L19+'Exercise 15 - Ult DCC Select'!G19</f>
        <v>5058546.0768253012</v>
      </c>
      <c r="G19" s="235">
        <f t="shared" si="2"/>
        <v>-434043.32957469858</v>
      </c>
      <c r="H19" s="235">
        <f t="shared" si="3"/>
        <v>-398816.32957469858</v>
      </c>
      <c r="I19" s="312">
        <f t="shared" si="4"/>
        <v>0.75611893624224358</v>
      </c>
    </row>
    <row r="20" spans="1:9">
      <c r="A20" s="89">
        <f t="shared" si="0"/>
        <v>2005</v>
      </c>
      <c r="B20" s="111">
        <f>+'Input Data'!C17</f>
        <v>7103262.0000000009</v>
      </c>
      <c r="C20" s="263">
        <f>'Exercise 15 - Ult Loss Select'!C20+'Exercise 15 - Ult DCC Select'!B20</f>
        <v>5553488.9928000001</v>
      </c>
      <c r="D20" s="263">
        <f>+'Exercise 15 - Ult Loss Select'!D20</f>
        <v>73106.779999999329</v>
      </c>
      <c r="E20" s="263">
        <f t="shared" si="1"/>
        <v>5626595.7727999995</v>
      </c>
      <c r="F20" s="263">
        <f>+'Exercise 15 - Ult Loss Select'!L20+'Exercise 15 - Ult DCC Select'!G20</f>
        <v>5132404.9530995209</v>
      </c>
      <c r="G20" s="235">
        <f t="shared" si="2"/>
        <v>-494190.81970047858</v>
      </c>
      <c r="H20" s="235">
        <f t="shared" si="3"/>
        <v>-421084.03970047925</v>
      </c>
      <c r="I20" s="312">
        <f t="shared" si="4"/>
        <v>0.72254197481375748</v>
      </c>
    </row>
    <row r="21" spans="1:9">
      <c r="A21" s="89">
        <f t="shared" si="0"/>
        <v>2006</v>
      </c>
      <c r="B21" s="111">
        <f>+'Input Data'!C18</f>
        <v>7959030</v>
      </c>
      <c r="C21" s="263">
        <f>'Exercise 15 - Ult Loss Select'!C21+'Exercise 15 - Ult DCC Select'!B21</f>
        <v>5317646.6548000006</v>
      </c>
      <c r="D21" s="263">
        <f>+'Exercise 15 - Ult Loss Select'!D21</f>
        <v>363441.50999999978</v>
      </c>
      <c r="E21" s="263">
        <f t="shared" si="1"/>
        <v>5681088.1648000004</v>
      </c>
      <c r="F21" s="263">
        <f>+'Exercise 15 - Ult Loss Select'!L21+'Exercise 15 - Ult DCC Select'!G21</f>
        <v>5208642.0591337895</v>
      </c>
      <c r="G21" s="235">
        <f t="shared" si="2"/>
        <v>-472446.10566621087</v>
      </c>
      <c r="H21" s="235">
        <f t="shared" si="3"/>
        <v>-109004.5956662111</v>
      </c>
      <c r="I21" s="312">
        <f t="shared" si="4"/>
        <v>0.65443176607372877</v>
      </c>
    </row>
    <row r="22" spans="1:9">
      <c r="A22" s="89">
        <f t="shared" si="0"/>
        <v>2007</v>
      </c>
      <c r="B22" s="111">
        <f>+'Input Data'!C19</f>
        <v>9363418</v>
      </c>
      <c r="C22" s="263">
        <f>'Exercise 15 - Ult Loss Select'!C22+'Exercise 15 - Ult DCC Select'!B22</f>
        <v>4390516.8253659997</v>
      </c>
      <c r="D22" s="263">
        <f>+'Exercise 15 - Ult Loss Select'!D22</f>
        <v>70004.490000000224</v>
      </c>
      <c r="E22" s="263">
        <f t="shared" si="1"/>
        <v>4460521.3153659999</v>
      </c>
      <c r="F22" s="263">
        <f>+'Exercise 15 - Ult Loss Select'!L22+'Exercise 15 - Ult DCC Select'!G22</f>
        <v>3865819.0767068807</v>
      </c>
      <c r="G22" s="235">
        <f t="shared" si="2"/>
        <v>-594702.23865911923</v>
      </c>
      <c r="H22" s="235">
        <f t="shared" si="3"/>
        <v>-524697.74865911901</v>
      </c>
      <c r="I22" s="312">
        <f t="shared" si="4"/>
        <v>0.41286409265365281</v>
      </c>
    </row>
    <row r="23" spans="1:9">
      <c r="A23" s="89">
        <f t="shared" si="0"/>
        <v>2008</v>
      </c>
      <c r="B23" s="111">
        <f>+'Input Data'!C20</f>
        <v>10597562</v>
      </c>
      <c r="C23" s="263">
        <f>'Exercise 15 - Ult Loss Select'!C23+'Exercise 15 - Ult DCC Select'!B23</f>
        <v>3620727.1432528002</v>
      </c>
      <c r="D23" s="263">
        <f>+'Exercise 15 - Ult Loss Select'!D23</f>
        <v>0</v>
      </c>
      <c r="E23" s="263">
        <f t="shared" si="1"/>
        <v>3620727.1432528002</v>
      </c>
      <c r="F23" s="263">
        <f>+'Exercise 15 - Ult Loss Select'!L23+'Exercise 15 - Ult DCC Select'!G23</f>
        <v>2995161.7987276288</v>
      </c>
      <c r="G23" s="235">
        <f t="shared" si="2"/>
        <v>-625565.34452517144</v>
      </c>
      <c r="H23" s="235">
        <f t="shared" si="3"/>
        <v>-625565.34452517144</v>
      </c>
      <c r="I23" s="312">
        <f t="shared" si="4"/>
        <v>0.28262743815300434</v>
      </c>
    </row>
    <row r="24" spans="1:9">
      <c r="A24" s="89">
        <f t="shared" si="0"/>
        <v>2009</v>
      </c>
      <c r="B24" s="111">
        <f>+'Input Data'!C21</f>
        <v>11036360</v>
      </c>
      <c r="C24" s="263">
        <f>'Exercise 15 - Ult Loss Select'!C24+'Exercise 15 - Ult DCC Select'!B24</f>
        <v>3590506.1381000001</v>
      </c>
      <c r="D24" s="263">
        <f>+'Exercise 15 - Ult Loss Select'!D24</f>
        <v>210753.0299999998</v>
      </c>
      <c r="E24" s="263">
        <f t="shared" si="1"/>
        <v>3801259.1680999999</v>
      </c>
      <c r="F24" s="263">
        <f>+'Exercise 15 - Ult Loss Select'!L24+'Exercise 15 - Ult DCC Select'!G24</f>
        <v>3262042.8138077846</v>
      </c>
      <c r="G24" s="235">
        <f t="shared" si="2"/>
        <v>-539216.35429221531</v>
      </c>
      <c r="H24" s="235">
        <f t="shared" si="3"/>
        <v>-328463.32429221552</v>
      </c>
      <c r="I24" s="312">
        <f t="shared" si="4"/>
        <v>0.29557234575600871</v>
      </c>
    </row>
    <row r="25" spans="1:9">
      <c r="A25" s="89">
        <f t="shared" si="0"/>
        <v>2010</v>
      </c>
      <c r="B25" s="111">
        <f>+'Input Data'!C22</f>
        <v>11402928</v>
      </c>
      <c r="C25" s="263">
        <f>'Exercise 15 - Ult Loss Select'!C25+'Exercise 15 - Ult DCC Select'!B25</f>
        <v>4210233.6943999995</v>
      </c>
      <c r="D25" s="263">
        <f>+'Exercise 15 - Ult Loss Select'!D25</f>
        <v>475723.54000000004</v>
      </c>
      <c r="E25" s="263">
        <f t="shared" si="1"/>
        <v>4685957.2343999995</v>
      </c>
      <c r="F25" s="263">
        <f>+'Exercise 15 - Ult Loss Select'!L25+'Exercise 15 - Ult DCC Select'!G25</f>
        <v>4189244.2935097637</v>
      </c>
      <c r="G25" s="235">
        <f t="shared" si="2"/>
        <v>-496712.94089023583</v>
      </c>
      <c r="H25" s="235">
        <f t="shared" si="3"/>
        <v>-20989.400890235789</v>
      </c>
      <c r="I25" s="312">
        <f t="shared" si="4"/>
        <v>0.36738321012899178</v>
      </c>
    </row>
    <row r="26" spans="1:9">
      <c r="A26" s="89">
        <f t="shared" si="0"/>
        <v>2011</v>
      </c>
      <c r="B26" s="111">
        <f>+'Input Data'!C23</f>
        <v>11099580</v>
      </c>
      <c r="C26" s="263">
        <f>'Exercise 15 - Ult Loss Select'!C26+'Exercise 15 - Ult DCC Select'!B26</f>
        <v>8012285.2659600005</v>
      </c>
      <c r="D26" s="263">
        <f>+'Exercise 15 - Ult Loss Select'!D26</f>
        <v>535550</v>
      </c>
      <c r="E26" s="263">
        <f t="shared" si="1"/>
        <v>8547835.2659600005</v>
      </c>
      <c r="F26" s="263">
        <f>+'Exercise 15 - Ult Loss Select'!L26+'Exercise 15 - Ult DCC Select'!G26</f>
        <v>8043337.2429948458</v>
      </c>
      <c r="G26" s="235">
        <f t="shared" si="2"/>
        <v>-504498.02296515461</v>
      </c>
      <c r="H26" s="235">
        <f t="shared" si="3"/>
        <v>31051.977034845389</v>
      </c>
      <c r="I26" s="312">
        <f t="shared" si="4"/>
        <v>0.72465239612623589</v>
      </c>
    </row>
    <row r="27" spans="1:9">
      <c r="A27" s="89">
        <f t="shared" si="0"/>
        <v>2012</v>
      </c>
      <c r="B27" s="111">
        <f>+'Input Data'!C24</f>
        <v>10683363</v>
      </c>
      <c r="C27" s="263">
        <f>'Exercise 15 - Ult Loss Select'!C27+'Exercise 15 - Ult DCC Select'!B27</f>
        <v>5177228.2749239998</v>
      </c>
      <c r="D27" s="263">
        <f>+'Exercise 15 - Ult Loss Select'!D27</f>
        <v>1315614</v>
      </c>
      <c r="E27" s="263">
        <f t="shared" si="1"/>
        <v>6492842.2749239998</v>
      </c>
      <c r="F27" s="263">
        <f>+'Exercise 15 - Ult Loss Select'!L27+'Exercise 15 - Ult DCC Select'!G27</f>
        <v>6033417.902855943</v>
      </c>
      <c r="G27" s="235">
        <f t="shared" si="2"/>
        <v>-459424.37206805684</v>
      </c>
      <c r="H27" s="235">
        <f t="shared" si="3"/>
        <v>856189.62793194316</v>
      </c>
      <c r="I27" s="312">
        <f t="shared" si="4"/>
        <v>0.56474893746996546</v>
      </c>
    </row>
    <row r="28" spans="1:9">
      <c r="A28" s="89">
        <f t="shared" si="0"/>
        <v>2013</v>
      </c>
      <c r="B28" s="111">
        <f>+'Input Data'!C25</f>
        <v>10430225</v>
      </c>
      <c r="C28" s="263">
        <f>'Exercise 15 - Ult Loss Select'!C28+'Exercise 15 - Ult DCC Select'!B28</f>
        <v>2502447.5262433332</v>
      </c>
      <c r="D28" s="263">
        <f>+'Exercise 15 - Ult Loss Select'!D28</f>
        <v>1144218.08</v>
      </c>
      <c r="E28" s="263">
        <f t="shared" si="1"/>
        <v>3646665.6062433333</v>
      </c>
      <c r="F28" s="263">
        <f>+'Exercise 15 - Ult Loss Select'!L28+'Exercise 15 - Ult DCC Select'!G28</f>
        <v>3442382.8530469206</v>
      </c>
      <c r="G28" s="235">
        <f t="shared" si="2"/>
        <v>-204282.7531964127</v>
      </c>
      <c r="H28" s="235">
        <f t="shared" si="3"/>
        <v>939935.32680358738</v>
      </c>
      <c r="I28" s="312">
        <f t="shared" si="4"/>
        <v>0.33003917490245133</v>
      </c>
    </row>
    <row r="29" spans="1:9">
      <c r="A29" s="89">
        <f t="shared" si="0"/>
        <v>2014</v>
      </c>
      <c r="B29" s="111">
        <f>+'Input Data'!C26</f>
        <v>10106327</v>
      </c>
      <c r="C29" s="263">
        <f>'Exercise 15 - Ult Loss Select'!C29+'Exercise 15 - Ult DCC Select'!B29</f>
        <v>2210424.7668485222</v>
      </c>
      <c r="D29" s="263">
        <f>+'Exercise 15 - Ult Loss Select'!D29</f>
        <v>1389906</v>
      </c>
      <c r="E29" s="263">
        <f t="shared" si="1"/>
        <v>3600330.7668485222</v>
      </c>
      <c r="F29" s="263">
        <f>+'Exercise 15 - Ult Loss Select'!L29+'Exercise 15 - Ult DCC Select'!G29</f>
        <v>3864262.173762402</v>
      </c>
      <c r="G29" s="235">
        <f t="shared" si="2"/>
        <v>263931.40691387979</v>
      </c>
      <c r="H29" s="235">
        <f t="shared" si="3"/>
        <v>1653837.4069138798</v>
      </c>
      <c r="I29" s="312">
        <f t="shared" si="4"/>
        <v>0.38236069085854851</v>
      </c>
    </row>
    <row r="30" spans="1:9">
      <c r="A30" s="89">
        <f>+A31-1</f>
        <v>2015</v>
      </c>
      <c r="B30" s="111">
        <f>+'Input Data'!C27</f>
        <v>9889744</v>
      </c>
      <c r="C30" s="263">
        <f>'Exercise 15 - Ult Loss Select'!C30+'Exercise 15 - Ult DCC Select'!B30</f>
        <v>746058.20512984775</v>
      </c>
      <c r="D30" s="263">
        <f>+'Exercise 15 - Ult Loss Select'!D30</f>
        <v>1768759</v>
      </c>
      <c r="E30" s="263">
        <f t="shared" si="1"/>
        <v>2514817.2051298479</v>
      </c>
      <c r="F30" s="263">
        <f>+'Exercise 15 - Ult Loss Select'!L30+'Exercise 15 - Ult DCC Select'!G30</f>
        <v>3002370.8355051419</v>
      </c>
      <c r="G30" s="235">
        <f t="shared" si="2"/>
        <v>487553.63037529401</v>
      </c>
      <c r="H30" s="235">
        <f t="shared" si="3"/>
        <v>2256312.630375294</v>
      </c>
      <c r="I30" s="312">
        <f t="shared" si="4"/>
        <v>0.30358428241470575</v>
      </c>
    </row>
    <row r="31" spans="1:9" ht="15">
      <c r="A31" s="49">
        <f>+EndYear</f>
        <v>2016</v>
      </c>
      <c r="B31" s="111">
        <f>+'Input Data'!C28</f>
        <v>9998035.5</v>
      </c>
      <c r="C31" s="263">
        <f>'Exercise 15 - Ult Loss Select'!C31+'Exercise 15 - Ult DCC Select'!B31</f>
        <v>428896.60505210108</v>
      </c>
      <c r="D31" s="263">
        <f>+'Exercise 15 - Ult Loss Select'!D31</f>
        <v>1981673</v>
      </c>
      <c r="E31" s="263">
        <f t="shared" si="1"/>
        <v>2410569.605052101</v>
      </c>
      <c r="F31" s="263">
        <f>+'Exercise 15 - Ult Loss Select'!L31+'Exercise 15 - Ult DCC Select'!G31</f>
        <v>3203633.1507840636</v>
      </c>
      <c r="G31" s="235">
        <f t="shared" si="2"/>
        <v>793063.54573196266</v>
      </c>
      <c r="H31" s="235">
        <f t="shared" si="3"/>
        <v>2774736.5457319627</v>
      </c>
      <c r="I31" s="312">
        <f t="shared" si="4"/>
        <v>0.3204262628177369</v>
      </c>
    </row>
    <row r="32" spans="1:9">
      <c r="A32" s="89"/>
      <c r="B32" s="171"/>
      <c r="C32" s="171"/>
      <c r="D32" s="171"/>
      <c r="E32" s="171"/>
      <c r="F32" s="171"/>
      <c r="G32" s="285"/>
      <c r="H32" s="285"/>
      <c r="I32" s="285"/>
    </row>
    <row r="33" spans="1:9" ht="15.75">
      <c r="A33" s="172" t="str">
        <f>'[1]Exercise 15 - Ult Loss Select'!A36</f>
        <v>Total</v>
      </c>
      <c r="B33" s="99">
        <f t="shared" ref="B33:H33" si="5">SUM(B16:B32)</f>
        <v>139880468.5</v>
      </c>
      <c r="C33" s="99">
        <f t="shared" si="5"/>
        <v>60132843.033313602</v>
      </c>
      <c r="D33" s="99">
        <f t="shared" si="5"/>
        <v>9577870.8789579999</v>
      </c>
      <c r="E33" s="99">
        <f t="shared" si="5"/>
        <v>69710713.912271604</v>
      </c>
      <c r="F33" s="99">
        <f t="shared" si="5"/>
        <v>65641352.371754982</v>
      </c>
      <c r="G33" s="221">
        <f t="shared" si="5"/>
        <v>-4069361.5405166158</v>
      </c>
      <c r="H33" s="221">
        <f t="shared" si="5"/>
        <v>5508509.338441384</v>
      </c>
      <c r="I33" s="313">
        <f>+F33/B33</f>
        <v>0.46926746153809873</v>
      </c>
    </row>
    <row r="34" spans="1:9" ht="15.75">
      <c r="H34" s="73"/>
    </row>
    <row r="35" spans="1:9" ht="15.75">
      <c r="H35" s="73"/>
    </row>
    <row r="36" spans="1:9" ht="15.75">
      <c r="H36" s="73"/>
    </row>
    <row r="37" spans="1:9">
      <c r="H37" s="173"/>
    </row>
    <row r="38" spans="1:9">
      <c r="H38" s="173"/>
    </row>
    <row r="39" spans="1:9">
      <c r="H39" s="173"/>
    </row>
    <row r="40" spans="1:9">
      <c r="H40" s="173"/>
    </row>
    <row r="41" spans="1:9">
      <c r="H41" s="173"/>
    </row>
    <row r="42" spans="1:9">
      <c r="H42" s="173"/>
    </row>
    <row r="110" spans="2:9">
      <c r="B110">
        <v>1</v>
      </c>
      <c r="C110">
        <v>1</v>
      </c>
      <c r="D110">
        <v>1</v>
      </c>
      <c r="E110">
        <v>1</v>
      </c>
      <c r="F110">
        <v>1</v>
      </c>
      <c r="G110">
        <v>1</v>
      </c>
      <c r="H110">
        <v>1</v>
      </c>
      <c r="I110"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4" sqref="G24"/>
    </sheetView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J125"/>
  <sheetViews>
    <sheetView topLeftCell="A56" workbookViewId="0">
      <selection activeCell="E81" sqref="E81"/>
    </sheetView>
  </sheetViews>
  <sheetFormatPr defaultColWidth="10" defaultRowHeight="15"/>
  <cols>
    <col min="1" max="1" width="18" style="45" customWidth="1"/>
    <col min="2" max="18" width="15.28515625" style="37" customWidth="1"/>
    <col min="19" max="19" width="11.5703125" style="37" customWidth="1"/>
    <col min="20" max="20" width="11" style="37" customWidth="1"/>
    <col min="21" max="23" width="11" style="37" hidden="1" customWidth="1"/>
    <col min="24" max="25" width="12.140625" style="37" hidden="1" customWidth="1"/>
    <col min="26" max="26" width="12.42578125" style="37" hidden="1" customWidth="1"/>
    <col min="27" max="27" width="12.140625" style="37" hidden="1" customWidth="1"/>
    <col min="28" max="28" width="12.42578125" style="37" hidden="1" customWidth="1"/>
    <col min="29" max="30" width="12.140625" style="37" hidden="1" customWidth="1"/>
    <col min="31" max="31" width="11" style="37" hidden="1" customWidth="1"/>
    <col min="32" max="32" width="12.42578125" style="37" hidden="1" customWidth="1"/>
    <col min="33" max="33" width="11" style="37" hidden="1" customWidth="1"/>
    <col min="34" max="35" width="10.5703125" style="37" hidden="1" customWidth="1"/>
    <col min="36" max="36" width="10" style="37" hidden="1" customWidth="1"/>
    <col min="37" max="37" width="10" style="37" customWidth="1"/>
    <col min="38" max="16384" width="10" style="37"/>
  </cols>
  <sheetData>
    <row r="1" spans="1:35" ht="15.75">
      <c r="A1" s="203" t="s">
        <v>0</v>
      </c>
      <c r="D1" s="63"/>
      <c r="E1" s="63"/>
      <c r="F1" s="63"/>
    </row>
    <row r="2" spans="1:35" ht="15.75">
      <c r="A2" s="204" t="str">
        <f>+"Analysis of Loss &amp; DCC Reserves as of "&amp;TEXT(EvalDate,"mm/dd/yyy")</f>
        <v>Analysis of Loss &amp; DCC Reserves as of 12/31/2016</v>
      </c>
      <c r="B2" s="63"/>
      <c r="C2" s="63"/>
      <c r="D2" s="63"/>
      <c r="E2" s="63"/>
      <c r="F2" s="63"/>
    </row>
    <row r="3" spans="1:35" ht="15.75">
      <c r="A3" s="205" t="str">
        <f>+LOB</f>
        <v>Liability</v>
      </c>
    </row>
    <row r="4" spans="1:35">
      <c r="A4" s="38"/>
      <c r="E4" s="39"/>
    </row>
    <row r="5" spans="1:35" ht="15.75">
      <c r="T5" s="65">
        <v>4</v>
      </c>
      <c r="U5" s="65">
        <v>3.5710000000000002</v>
      </c>
      <c r="V5" s="65">
        <v>1.927</v>
      </c>
      <c r="W5" s="65">
        <v>1.2</v>
      </c>
      <c r="X5" s="65">
        <v>1.03</v>
      </c>
      <c r="Y5" s="65">
        <v>1.0249999999999999</v>
      </c>
      <c r="Z5" s="65">
        <v>1.0149999999999999</v>
      </c>
      <c r="AA5" s="65">
        <v>1.01</v>
      </c>
      <c r="AB5" s="65">
        <v>1.01</v>
      </c>
      <c r="AC5" s="65">
        <v>1.01</v>
      </c>
    </row>
    <row r="6" spans="1:35">
      <c r="A6" s="38" t="s">
        <v>40</v>
      </c>
    </row>
    <row r="7" spans="1:35">
      <c r="A7" s="38"/>
    </row>
    <row r="8" spans="1:35">
      <c r="A8" s="38"/>
    </row>
    <row r="10" spans="1:35">
      <c r="A10" s="66" t="s">
        <v>3</v>
      </c>
      <c r="B10" s="41" t="s">
        <v>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  <c r="Q10" s="208"/>
      <c r="R10" s="208"/>
    </row>
    <row r="11" spans="1:35" s="45" customFormat="1">
      <c r="A11" s="43" t="s">
        <v>5</v>
      </c>
      <c r="B11" s="44">
        <f>+FirstMonth</f>
        <v>12</v>
      </c>
      <c r="C11" s="44">
        <f t="shared" ref="C11:P11" si="0">B11+12</f>
        <v>24</v>
      </c>
      <c r="D11" s="44">
        <f t="shared" si="0"/>
        <v>36</v>
      </c>
      <c r="E11" s="44">
        <f t="shared" si="0"/>
        <v>48</v>
      </c>
      <c r="F11" s="44">
        <f t="shared" si="0"/>
        <v>60</v>
      </c>
      <c r="G11" s="44">
        <f t="shared" si="0"/>
        <v>72</v>
      </c>
      <c r="H11" s="44">
        <f t="shared" si="0"/>
        <v>84</v>
      </c>
      <c r="I11" s="44">
        <f t="shared" si="0"/>
        <v>96</v>
      </c>
      <c r="J11" s="44">
        <f t="shared" si="0"/>
        <v>108</v>
      </c>
      <c r="K11" s="44">
        <f t="shared" si="0"/>
        <v>120</v>
      </c>
      <c r="L11" s="44">
        <f t="shared" si="0"/>
        <v>132</v>
      </c>
      <c r="M11" s="44">
        <f t="shared" si="0"/>
        <v>144</v>
      </c>
      <c r="N11" s="44">
        <f t="shared" si="0"/>
        <v>156</v>
      </c>
      <c r="O11" s="44">
        <f t="shared" si="0"/>
        <v>168</v>
      </c>
      <c r="P11" s="44">
        <f t="shared" si="0"/>
        <v>180</v>
      </c>
      <c r="Q11" s="209"/>
      <c r="R11" s="209"/>
      <c r="T11" s="45" t="s">
        <v>6</v>
      </c>
    </row>
    <row r="12" spans="1:35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35" ht="15.75">
      <c r="A13" s="49">
        <f t="shared" ref="A13:A25" si="1">+A14-1</f>
        <v>2002</v>
      </c>
      <c r="B13" s="50">
        <v>18096.356366606586</v>
      </c>
      <c r="C13" s="50">
        <v>74611.277299518959</v>
      </c>
      <c r="D13" s="50">
        <v>266436.87123658223</v>
      </c>
      <c r="E13" s="50">
        <v>513423.85087289393</v>
      </c>
      <c r="F13" s="50">
        <v>639887.33327679988</v>
      </c>
      <c r="G13" s="50">
        <v>662046.63162817538</v>
      </c>
      <c r="H13" s="50">
        <v>678904.32500932366</v>
      </c>
      <c r="I13" s="50">
        <v>689087.88988446339</v>
      </c>
      <c r="J13" s="50">
        <v>695978.76878330798</v>
      </c>
      <c r="K13" s="50">
        <v>702938.55647114106</v>
      </c>
      <c r="L13" s="50">
        <v>709967.94203585247</v>
      </c>
      <c r="M13" s="50">
        <v>715647.68557213934</v>
      </c>
      <c r="N13" s="50">
        <v>719225.924</v>
      </c>
      <c r="O13" s="50">
        <v>719225.924</v>
      </c>
      <c r="P13" s="50">
        <v>719225.924</v>
      </c>
      <c r="Q13" s="50"/>
      <c r="R13" s="50"/>
      <c r="U13" s="67">
        <f t="shared" ref="U13:AG21" si="2">+V13/U33</f>
        <v>9719.6967554772928</v>
      </c>
      <c r="V13" s="67">
        <f t="shared" si="2"/>
        <v>40074.309722832877</v>
      </c>
      <c r="W13" s="67">
        <f t="shared" si="2"/>
        <v>143105.3600202362</v>
      </c>
      <c r="X13" s="67">
        <f t="shared" si="2"/>
        <v>275764.02875899518</v>
      </c>
      <c r="Y13" s="67">
        <f t="shared" si="2"/>
        <v>343688.5697387383</v>
      </c>
      <c r="Z13" s="67">
        <f t="shared" si="2"/>
        <v>355590.50490879081</v>
      </c>
      <c r="AA13" s="67">
        <f t="shared" si="2"/>
        <v>364644.90593528334</v>
      </c>
      <c r="AB13" s="67">
        <f t="shared" si="2"/>
        <v>370114.57952431258</v>
      </c>
      <c r="AC13" s="67">
        <f t="shared" si="2"/>
        <v>373815.72531955573</v>
      </c>
      <c r="AD13" s="67">
        <f t="shared" si="2"/>
        <v>377553.88257275132</v>
      </c>
      <c r="AE13" s="67">
        <f t="shared" si="2"/>
        <v>381329.42139847885</v>
      </c>
      <c r="AF13" s="67">
        <f t="shared" si="2"/>
        <v>384380.05676966667</v>
      </c>
      <c r="AG13" s="67">
        <f t="shared" si="2"/>
        <v>386301.95705351495</v>
      </c>
      <c r="AH13" s="67">
        <f>+AI13/AH33</f>
        <v>386301.95705351495</v>
      </c>
      <c r="AI13" s="67">
        <f>+'[1]Exercise 6 - Paid-Ldfs'!P13*0.095</f>
        <v>386301.95705351495</v>
      </c>
    </row>
    <row r="14" spans="1:35" ht="15.75">
      <c r="A14" s="49">
        <f t="shared" si="1"/>
        <v>2003</v>
      </c>
      <c r="B14" s="50">
        <v>18564.304120056004</v>
      </c>
      <c r="C14" s="50">
        <v>84114.861967973746</v>
      </c>
      <c r="D14" s="50">
        <v>270279.05208356079</v>
      </c>
      <c r="E14" s="50">
        <v>664886.46812555951</v>
      </c>
      <c r="F14" s="50">
        <v>745470.70806237729</v>
      </c>
      <c r="G14" s="50">
        <v>771870.06224699016</v>
      </c>
      <c r="H14" s="50">
        <v>798383.79888517433</v>
      </c>
      <c r="I14" s="50">
        <v>814351.47486287786</v>
      </c>
      <c r="J14" s="50">
        <v>826566.74698582094</v>
      </c>
      <c r="K14" s="50">
        <v>836485.54794965079</v>
      </c>
      <c r="L14" s="50">
        <v>844013.91788119753</v>
      </c>
      <c r="M14" s="50">
        <v>845701.94571695989</v>
      </c>
      <c r="N14" s="50">
        <v>854158.96517412947</v>
      </c>
      <c r="O14" s="50">
        <v>858429.76</v>
      </c>
      <c r="P14" s="50"/>
      <c r="Q14" s="50"/>
      <c r="R14" s="50"/>
      <c r="U14" s="67">
        <f t="shared" si="2"/>
        <v>7073.8888545521095</v>
      </c>
      <c r="V14" s="67">
        <f t="shared" si="2"/>
        <v>32051.790399975605</v>
      </c>
      <c r="W14" s="67">
        <f t="shared" si="2"/>
        <v>102989.26163826721</v>
      </c>
      <c r="X14" s="67">
        <f t="shared" si="2"/>
        <v>253353.58363013735</v>
      </c>
      <c r="Y14" s="67">
        <f t="shared" si="2"/>
        <v>284060.03796610999</v>
      </c>
      <c r="Z14" s="67">
        <f t="shared" si="2"/>
        <v>294119.45609060384</v>
      </c>
      <c r="AA14" s="67">
        <f t="shared" si="2"/>
        <v>304222.45940731611</v>
      </c>
      <c r="AB14" s="67">
        <f t="shared" si="2"/>
        <v>310306.90859546245</v>
      </c>
      <c r="AC14" s="67">
        <f t="shared" si="2"/>
        <v>314961.51222439436</v>
      </c>
      <c r="AD14" s="67">
        <f t="shared" si="2"/>
        <v>318741.0503710871</v>
      </c>
      <c r="AE14" s="67">
        <f t="shared" si="2"/>
        <v>321609.71982442687</v>
      </c>
      <c r="AF14" s="67">
        <f t="shared" si="2"/>
        <v>322252.93926407571</v>
      </c>
      <c r="AG14" s="67">
        <f t="shared" si="2"/>
        <v>325475.46865671646</v>
      </c>
      <c r="AH14" s="67">
        <f>+'[1]Exercise 6 - Paid-Ldfs'!O14*0.1</f>
        <v>327102.84600000002</v>
      </c>
      <c r="AI14" s="67" t="s">
        <v>7</v>
      </c>
    </row>
    <row r="15" spans="1:35" ht="15.75">
      <c r="A15" s="49">
        <f t="shared" si="1"/>
        <v>2004</v>
      </c>
      <c r="B15" s="50">
        <v>31562.618957777657</v>
      </c>
      <c r="C15" s="50">
        <v>80800.304531910806</v>
      </c>
      <c r="D15" s="50">
        <v>309798.87161493517</v>
      </c>
      <c r="E15" s="50">
        <v>571994.04861751944</v>
      </c>
      <c r="F15" s="50">
        <v>769706.07949835947</v>
      </c>
      <c r="G15" s="50">
        <v>803804.05882013682</v>
      </c>
      <c r="H15" s="50">
        <v>823336.49744946614</v>
      </c>
      <c r="I15" s="50">
        <v>839803.22739845549</v>
      </c>
      <c r="J15" s="50">
        <v>849880.86612723698</v>
      </c>
      <c r="K15" s="50">
        <v>857529.79392238206</v>
      </c>
      <c r="L15" s="50">
        <v>861817.44289199391</v>
      </c>
      <c r="M15" s="50">
        <v>868711.98243512982</v>
      </c>
      <c r="N15" s="50">
        <v>870449.40640000009</v>
      </c>
      <c r="O15" s="50"/>
      <c r="P15" s="50"/>
      <c r="Q15" s="50"/>
      <c r="R15" s="50"/>
      <c r="U15" s="67">
        <f t="shared" si="2"/>
        <v>16299.567375665367</v>
      </c>
      <c r="V15" s="67">
        <f t="shared" si="2"/>
        <v>41726.89248170334</v>
      </c>
      <c r="W15" s="67">
        <f t="shared" si="2"/>
        <v>159986.33027087324</v>
      </c>
      <c r="X15" s="67">
        <f t="shared" si="2"/>
        <v>295389.16103232413</v>
      </c>
      <c r="Y15" s="67">
        <f t="shared" si="2"/>
        <v>397491.60609979107</v>
      </c>
      <c r="Z15" s="67">
        <f t="shared" si="2"/>
        <v>415100.4842500118</v>
      </c>
      <c r="AA15" s="67">
        <f t="shared" si="2"/>
        <v>425187.42601728707</v>
      </c>
      <c r="AB15" s="67">
        <f t="shared" si="2"/>
        <v>433691.17453763285</v>
      </c>
      <c r="AC15" s="67">
        <f t="shared" si="2"/>
        <v>438895.46863208443</v>
      </c>
      <c r="AD15" s="67">
        <f t="shared" si="2"/>
        <v>442845.52784977318</v>
      </c>
      <c r="AE15" s="67">
        <f t="shared" si="2"/>
        <v>445059.75548902201</v>
      </c>
      <c r="AF15" s="67">
        <f t="shared" si="2"/>
        <v>448620.23353293416</v>
      </c>
      <c r="AG15" s="67">
        <f>+'[1]Exercise 6 - Paid-Ldfs'!N15*0.098</f>
        <v>449517.47400000005</v>
      </c>
      <c r="AH15" s="67"/>
      <c r="AI15" s="67" t="s">
        <v>7</v>
      </c>
    </row>
    <row r="16" spans="1:35" ht="15.75">
      <c r="A16" s="49">
        <f t="shared" si="1"/>
        <v>2005</v>
      </c>
      <c r="B16" s="50">
        <v>23949.3076644188</v>
      </c>
      <c r="C16" s="50">
        <v>82984.351057211141</v>
      </c>
      <c r="D16" s="50">
        <v>327066.22282178624</v>
      </c>
      <c r="E16" s="50">
        <v>723470.48488179117</v>
      </c>
      <c r="F16" s="50">
        <v>907615.42739875335</v>
      </c>
      <c r="G16" s="50">
        <v>930680.83977832342</v>
      </c>
      <c r="H16" s="50">
        <v>955011.62897264818</v>
      </c>
      <c r="I16" s="50">
        <v>969336.80340723775</v>
      </c>
      <c r="J16" s="50">
        <v>978060.83463790279</v>
      </c>
      <c r="K16" s="50">
        <v>982951.13881109224</v>
      </c>
      <c r="L16" s="50">
        <v>986882.94336633664</v>
      </c>
      <c r="M16" s="50">
        <v>996751.77280000004</v>
      </c>
      <c r="N16" s="50"/>
      <c r="O16" s="50"/>
      <c r="P16" s="50"/>
      <c r="Q16" s="50"/>
      <c r="R16" s="50"/>
      <c r="U16" s="67">
        <f t="shared" si="2"/>
        <v>10072.743107888989</v>
      </c>
      <c r="V16" s="67">
        <f t="shared" si="2"/>
        <v>34902.054868835345</v>
      </c>
      <c r="W16" s="67">
        <f t="shared" si="2"/>
        <v>137559.46885454076</v>
      </c>
      <c r="X16" s="67">
        <f t="shared" si="2"/>
        <v>304281.54510624416</v>
      </c>
      <c r="Y16" s="67">
        <f t="shared" si="2"/>
        <v>381730.32678213646</v>
      </c>
      <c r="Z16" s="67">
        <f t="shared" si="2"/>
        <v>391431.31592271628</v>
      </c>
      <c r="AA16" s="67">
        <f t="shared" si="2"/>
        <v>401664.50481488387</v>
      </c>
      <c r="AB16" s="67">
        <f t="shared" si="2"/>
        <v>407689.47238710709</v>
      </c>
      <c r="AC16" s="67">
        <f t="shared" si="2"/>
        <v>411358.67763859103</v>
      </c>
      <c r="AD16" s="67">
        <f t="shared" si="2"/>
        <v>413415.47102678393</v>
      </c>
      <c r="AE16" s="67">
        <f t="shared" si="2"/>
        <v>415069.13291089109</v>
      </c>
      <c r="AF16" s="67">
        <f>+'[1]Exercise 6 - Paid-Ldfs'!M16*0.092</f>
        <v>419219.82423999999</v>
      </c>
      <c r="AG16" s="67"/>
      <c r="AH16" s="67"/>
      <c r="AI16" s="67" t="s">
        <v>7</v>
      </c>
    </row>
    <row r="17" spans="1:35" ht="15.75">
      <c r="A17" s="49">
        <f t="shared" si="1"/>
        <v>2006</v>
      </c>
      <c r="B17" s="50">
        <v>22988.633385157114</v>
      </c>
      <c r="C17" s="50">
        <v>95323.287876889372</v>
      </c>
      <c r="D17" s="50">
        <v>296865.31543499656</v>
      </c>
      <c r="E17" s="50">
        <v>645563.31494494353</v>
      </c>
      <c r="F17" s="50">
        <v>880742.03057938651</v>
      </c>
      <c r="G17" s="50">
        <v>899616.33229470276</v>
      </c>
      <c r="H17" s="50">
        <v>914379.03630765888</v>
      </c>
      <c r="I17" s="50">
        <v>941810.40739688871</v>
      </c>
      <c r="J17" s="50">
        <v>949344.8906560638</v>
      </c>
      <c r="K17" s="50">
        <v>955040.9600000002</v>
      </c>
      <c r="L17" s="50">
        <v>959816.16480000014</v>
      </c>
      <c r="M17" s="50"/>
      <c r="N17" s="50"/>
      <c r="O17" s="50"/>
      <c r="P17" s="50"/>
      <c r="Q17" s="50"/>
      <c r="R17" s="50"/>
      <c r="U17" s="67">
        <f t="shared" si="2"/>
        <v>10646.223994398701</v>
      </c>
      <c r="V17" s="67">
        <f t="shared" si="2"/>
        <v>44144.993641733985</v>
      </c>
      <c r="W17" s="67">
        <f t="shared" si="2"/>
        <v>137480.75369845214</v>
      </c>
      <c r="X17" s="67">
        <f t="shared" si="2"/>
        <v>298965.64699265402</v>
      </c>
      <c r="Y17" s="67">
        <f t="shared" si="2"/>
        <v>407878.83219207788</v>
      </c>
      <c r="Z17" s="67">
        <f t="shared" si="2"/>
        <v>416619.67556595412</v>
      </c>
      <c r="AA17" s="67">
        <f t="shared" si="2"/>
        <v>423456.40444199147</v>
      </c>
      <c r="AB17" s="67">
        <f t="shared" si="2"/>
        <v>436160.0965752512</v>
      </c>
      <c r="AC17" s="67">
        <f t="shared" si="2"/>
        <v>439649.37734785321</v>
      </c>
      <c r="AD17" s="67">
        <f t="shared" si="2"/>
        <v>442287.27361194033</v>
      </c>
      <c r="AE17" s="67">
        <f>+'[1]Exercise 6 - Paid-Ldfs'!L17*0.102</f>
        <v>444498.70997999999</v>
      </c>
      <c r="AF17" s="67"/>
      <c r="AG17" s="67"/>
      <c r="AH17" s="67"/>
      <c r="AI17" s="67" t="s">
        <v>7</v>
      </c>
    </row>
    <row r="18" spans="1:35" ht="15.75">
      <c r="A18" s="49">
        <f t="shared" si="1"/>
        <v>2007</v>
      </c>
      <c r="B18" s="50">
        <v>33679.002483631957</v>
      </c>
      <c r="C18" s="50">
        <v>182418.94905234413</v>
      </c>
      <c r="D18" s="50">
        <v>542805.82480015524</v>
      </c>
      <c r="E18" s="50">
        <v>972165.2322170781</v>
      </c>
      <c r="F18" s="50">
        <v>1112773.3784135629</v>
      </c>
      <c r="G18" s="50">
        <v>1149728.5823106773</v>
      </c>
      <c r="H18" s="50">
        <v>1192201.0737829623</v>
      </c>
      <c r="I18" s="50">
        <v>1192201.0737829623</v>
      </c>
      <c r="J18" s="50">
        <v>1204123.0845207919</v>
      </c>
      <c r="K18" s="50">
        <v>1216164.3153659999</v>
      </c>
      <c r="L18" s="50"/>
      <c r="M18" s="50"/>
      <c r="N18" s="50"/>
      <c r="O18" s="50"/>
      <c r="P18" s="50"/>
      <c r="Q18" s="50"/>
      <c r="R18" s="50"/>
      <c r="U18" s="67">
        <f t="shared" si="2"/>
        <v>9625.7867514771824</v>
      </c>
      <c r="V18" s="67">
        <f t="shared" si="2"/>
        <v>52137.111360701012</v>
      </c>
      <c r="W18" s="67">
        <f t="shared" si="2"/>
        <v>155139.18856490194</v>
      </c>
      <c r="X18" s="67">
        <f t="shared" si="2"/>
        <v>277854.28671973938</v>
      </c>
      <c r="Y18" s="67">
        <f t="shared" si="2"/>
        <v>318041.46362516214</v>
      </c>
      <c r="Z18" s="67">
        <f t="shared" si="2"/>
        <v>328603.62063215376</v>
      </c>
      <c r="AA18" s="67">
        <f t="shared" si="2"/>
        <v>340742.67213508475</v>
      </c>
      <c r="AB18" s="67">
        <f t="shared" si="2"/>
        <v>340742.67213508475</v>
      </c>
      <c r="AC18" s="67">
        <f t="shared" si="2"/>
        <v>344150.09885643562</v>
      </c>
      <c r="AD18" s="67">
        <f>+'[1]Exercise 6 - Paid-Ldfs'!K18*0.1095</f>
        <v>347591.59984499996</v>
      </c>
      <c r="AE18" s="67"/>
      <c r="AF18" s="67"/>
      <c r="AG18" s="67"/>
      <c r="AH18" s="67"/>
      <c r="AI18" s="67" t="s">
        <v>7</v>
      </c>
    </row>
    <row r="19" spans="1:35" ht="15.75">
      <c r="A19" s="49">
        <f t="shared" si="1"/>
        <v>2008</v>
      </c>
      <c r="B19" s="50">
        <v>41152.19353508042</v>
      </c>
      <c r="C19" s="50">
        <v>174543.32518162546</v>
      </c>
      <c r="D19" s="50">
        <v>513681.00600952376</v>
      </c>
      <c r="E19" s="50">
        <v>843104.63516343129</v>
      </c>
      <c r="F19" s="50">
        <v>1175540.7928083723</v>
      </c>
      <c r="G19" s="50">
        <v>1204647.1828383075</v>
      </c>
      <c r="H19" s="50">
        <v>1257928.7277352458</v>
      </c>
      <c r="I19" s="50">
        <v>1270508.0150125984</v>
      </c>
      <c r="J19" s="50">
        <v>1290836.1432528</v>
      </c>
      <c r="K19" s="50"/>
      <c r="L19" s="50"/>
      <c r="M19" s="50"/>
      <c r="N19" s="50"/>
      <c r="O19" s="50"/>
      <c r="P19" s="50"/>
      <c r="Q19" s="50"/>
      <c r="R19" s="50"/>
      <c r="U19" s="67">
        <f t="shared" si="2"/>
        <v>6907.8106496623086</v>
      </c>
      <c r="V19" s="67">
        <f t="shared" si="2"/>
        <v>29298.857167584214</v>
      </c>
      <c r="W19" s="67">
        <f t="shared" si="2"/>
        <v>86226.536644200343</v>
      </c>
      <c r="X19" s="67">
        <f t="shared" si="2"/>
        <v>141523.61459412603</v>
      </c>
      <c r="Y19" s="67">
        <f t="shared" si="2"/>
        <v>197326.37582858992</v>
      </c>
      <c r="Z19" s="67">
        <f t="shared" si="2"/>
        <v>202212.1768941058</v>
      </c>
      <c r="AA19" s="67">
        <f t="shared" si="2"/>
        <v>211156.02147813208</v>
      </c>
      <c r="AB19" s="67">
        <f t="shared" si="2"/>
        <v>213267.5816929134</v>
      </c>
      <c r="AC19" s="67">
        <f>+'[1]Exercise 6 - Paid-Ldfs'!J19*0.093</f>
        <v>216679.86300000001</v>
      </c>
      <c r="AD19" s="67"/>
      <c r="AE19" s="67"/>
      <c r="AF19" s="67"/>
      <c r="AG19" s="67"/>
      <c r="AH19" s="67"/>
      <c r="AI19" s="67" t="s">
        <v>7</v>
      </c>
    </row>
    <row r="20" spans="1:35" ht="15.75">
      <c r="A20" s="49">
        <f t="shared" si="1"/>
        <v>2009</v>
      </c>
      <c r="B20" s="50">
        <v>13967.749214861024</v>
      </c>
      <c r="C20" s="50">
        <v>57451.308005613464</v>
      </c>
      <c r="D20" s="50">
        <v>268757.21885025979</v>
      </c>
      <c r="E20" s="50">
        <v>692579.29026055406</v>
      </c>
      <c r="F20" s="50">
        <v>1069065.3924461913</v>
      </c>
      <c r="G20" s="50">
        <v>1099508.098561489</v>
      </c>
      <c r="H20" s="50">
        <v>1113156.2925889329</v>
      </c>
      <c r="I20" s="50">
        <v>1126514.1681000001</v>
      </c>
      <c r="J20" s="50"/>
      <c r="K20" s="50"/>
      <c r="L20" s="50"/>
      <c r="M20" s="50"/>
      <c r="N20" s="50"/>
      <c r="O20" s="50"/>
      <c r="P20" s="50"/>
      <c r="Q20" s="50"/>
      <c r="R20" s="50"/>
      <c r="U20" s="67">
        <f t="shared" si="2"/>
        <v>2596.856697157476</v>
      </c>
      <c r="V20" s="67">
        <f t="shared" si="2"/>
        <v>10681.2351553463</v>
      </c>
      <c r="W20" s="67">
        <f t="shared" si="2"/>
        <v>49966.818056709984</v>
      </c>
      <c r="X20" s="67">
        <f t="shared" si="2"/>
        <v>128762.99112759993</v>
      </c>
      <c r="Y20" s="67">
        <f t="shared" si="2"/>
        <v>198758.55310456327</v>
      </c>
      <c r="Z20" s="67">
        <f t="shared" si="2"/>
        <v>204418.4016627688</v>
      </c>
      <c r="AA20" s="67">
        <f t="shared" si="2"/>
        <v>206955.84728260874</v>
      </c>
      <c r="AB20" s="67">
        <f>+'[1]Exercise 6 - Paid-Ldfs'!I20*0.085</f>
        <v>209439.31745000003</v>
      </c>
      <c r="AC20" s="67"/>
      <c r="AD20" s="67"/>
      <c r="AE20" s="67"/>
      <c r="AF20" s="67"/>
      <c r="AG20" s="67"/>
      <c r="AH20" s="67"/>
      <c r="AI20" s="67" t="s">
        <v>7</v>
      </c>
    </row>
    <row r="21" spans="1:35" ht="15.75">
      <c r="A21" s="49">
        <f t="shared" si="1"/>
        <v>2010</v>
      </c>
      <c r="B21" s="50">
        <v>22746.627925341083</v>
      </c>
      <c r="C21" s="50">
        <v>89038.354006070571</v>
      </c>
      <c r="D21" s="50">
        <v>342441.50950734742</v>
      </c>
      <c r="E21" s="50">
        <v>677907.48546603019</v>
      </c>
      <c r="F21" s="50">
        <v>992795.5124650012</v>
      </c>
      <c r="G21" s="50">
        <v>1027953.3799479242</v>
      </c>
      <c r="H21" s="50">
        <v>1054094.2344</v>
      </c>
      <c r="I21" s="50"/>
      <c r="J21" s="50"/>
      <c r="K21" s="50"/>
      <c r="L21" s="50"/>
      <c r="M21" s="50"/>
      <c r="N21" s="50"/>
      <c r="O21" s="50"/>
      <c r="P21" s="50"/>
      <c r="Q21" s="50"/>
      <c r="R21" s="50"/>
      <c r="U21" s="67">
        <f t="shared" si="2"/>
        <v>5108.0487612645456</v>
      </c>
      <c r="V21" s="67">
        <f t="shared" si="2"/>
        <v>19994.71110085092</v>
      </c>
      <c r="W21" s="67">
        <f t="shared" si="2"/>
        <v>76899.658893872635</v>
      </c>
      <c r="X21" s="67">
        <f t="shared" si="2"/>
        <v>152232.8717360771</v>
      </c>
      <c r="Y21" s="67">
        <f t="shared" si="2"/>
        <v>222945.0406574849</v>
      </c>
      <c r="Z21" s="67">
        <f t="shared" si="2"/>
        <v>230840.19338228839</v>
      </c>
      <c r="AA21" s="67">
        <f>+'[1]Exercise 6 - Paid-Ldfs'!H21*0.075</f>
        <v>236710.4595</v>
      </c>
      <c r="AB21" s="67"/>
      <c r="AC21" s="67"/>
      <c r="AD21" s="67"/>
      <c r="AE21" s="67"/>
      <c r="AF21" s="67"/>
      <c r="AG21" s="67"/>
      <c r="AH21" s="67"/>
      <c r="AI21" s="67" t="s">
        <v>7</v>
      </c>
    </row>
    <row r="22" spans="1:35" ht="15.75">
      <c r="A22" s="49">
        <f t="shared" si="1"/>
        <v>2011</v>
      </c>
      <c r="B22" s="50">
        <v>29355.8382434987</v>
      </c>
      <c r="C22" s="50">
        <v>112011.39870293811</v>
      </c>
      <c r="D22" s="50">
        <v>499570.83821510396</v>
      </c>
      <c r="E22" s="50">
        <v>864757.12095034495</v>
      </c>
      <c r="F22" s="50">
        <v>1073474.8996629203</v>
      </c>
      <c r="G22" s="50">
        <v>1105067.26596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U22" s="67">
        <f>+V22/U42</f>
        <v>15220.374024273322</v>
      </c>
      <c r="V22" s="67">
        <f>+W22/V42</f>
        <v>58075.513603100335</v>
      </c>
      <c r="W22" s="67">
        <f>+X22/W42</f>
        <v>259016.79066982749</v>
      </c>
      <c r="X22" s="67">
        <f>+Y22/X42</f>
        <v>448358.06464947143</v>
      </c>
      <c r="Y22" s="67">
        <f>+Z22/Y42</f>
        <v>556573.76713326783</v>
      </c>
      <c r="Z22" s="67">
        <f>+'[1]Exercise 6 - Paid-Ldfs'!G22*0.08295</f>
        <v>572953.73309999995</v>
      </c>
      <c r="AA22" s="67"/>
      <c r="AB22" s="67"/>
      <c r="AC22" s="67"/>
      <c r="AD22" s="67"/>
      <c r="AE22" s="67"/>
      <c r="AF22" s="67"/>
      <c r="AG22" s="67"/>
      <c r="AH22" s="67"/>
      <c r="AI22" s="67" t="s">
        <v>7</v>
      </c>
    </row>
    <row r="23" spans="1:35" ht="15.75">
      <c r="A23" s="49">
        <f t="shared" si="1"/>
        <v>2012</v>
      </c>
      <c r="B23" s="50">
        <v>29941.673010533974</v>
      </c>
      <c r="C23" s="50">
        <v>105753.989073206</v>
      </c>
      <c r="D23" s="50">
        <v>385579.04416090908</v>
      </c>
      <c r="E23" s="50">
        <v>904684.11131474085</v>
      </c>
      <c r="F23" s="50">
        <v>1044548.2749239999</v>
      </c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U23" s="67">
        <f>+V23/U43</f>
        <v>9440.8348483081354</v>
      </c>
      <c r="V23" s="67">
        <f>+W23/V43</f>
        <v>33345.028684224337</v>
      </c>
      <c r="W23" s="67">
        <f>+X23/W43</f>
        <v>121575.97458268194</v>
      </c>
      <c r="X23" s="67">
        <f>+Y23/X43</f>
        <v>285253.70916334662</v>
      </c>
      <c r="Y23" s="67">
        <f>+'[1]Exercise 6 - Paid-Ldfs'!F23*0.079695</f>
        <v>329353.9326</v>
      </c>
      <c r="Z23" s="67"/>
      <c r="AA23" s="67"/>
      <c r="AB23" s="67"/>
      <c r="AC23" s="67"/>
      <c r="AD23" s="67"/>
      <c r="AE23" s="67"/>
      <c r="AF23" s="67"/>
      <c r="AG23" s="67"/>
      <c r="AH23" s="67"/>
      <c r="AI23" s="67" t="s">
        <v>7</v>
      </c>
    </row>
    <row r="24" spans="1:35" ht="15.75">
      <c r="A24" s="49">
        <f t="shared" si="1"/>
        <v>2013</v>
      </c>
      <c r="B24" s="50">
        <v>16714.358995082734</v>
      </c>
      <c r="C24" s="50">
        <v>77126.069572549954</v>
      </c>
      <c r="D24" s="50">
        <v>288937.39443964389</v>
      </c>
      <c r="E24" s="50">
        <v>735634.60624333331</v>
      </c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U24" s="67">
        <f>+V24/U44</f>
        <v>2617.1729951927055</v>
      </c>
      <c r="V24" s="67">
        <f>+W24/V44</f>
        <v>12076.578382097412</v>
      </c>
      <c r="W24" s="67">
        <f>+X24/W44</f>
        <v>45242.485592851539</v>
      </c>
      <c r="X24" s="67">
        <f>+'[1]Exercise 6 - Paid-Ldfs'!E24*0.065195</f>
        <v>115187.3683194</v>
      </c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 t="s">
        <v>7</v>
      </c>
    </row>
    <row r="25" spans="1:35" ht="15.75">
      <c r="A25" s="49">
        <f t="shared" si="1"/>
        <v>2014</v>
      </c>
      <c r="B25" s="50">
        <v>45062.496911409093</v>
      </c>
      <c r="C25" s="50">
        <v>172589.36317069683</v>
      </c>
      <c r="D25" s="50">
        <v>554805.76684852201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U25" s="67">
        <f>+V25/U45</f>
        <v>8242.7562010326092</v>
      </c>
      <c r="V25" s="67">
        <f>+W25/V45</f>
        <v>31569.756249954891</v>
      </c>
      <c r="W25" s="67">
        <f>+'[1]Exercise 6 - Paid-Ldfs'!D25*0.061296795</f>
        <v>101484.13844110499</v>
      </c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 t="s">
        <v>7</v>
      </c>
    </row>
    <row r="26" spans="1:35" ht="15.75">
      <c r="A26" s="49">
        <f>+A27-1</f>
        <v>2015</v>
      </c>
      <c r="B26" s="50">
        <v>74721.95924981148</v>
      </c>
      <c r="C26" s="50">
        <v>116870.20512984773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U26" s="67">
        <f>+V26/U46</f>
        <v>8106.5186258365547</v>
      </c>
      <c r="V26" s="67">
        <f>+'[1]Exercise 6 - Paid-Ldfs'!C26*0.05467495</f>
        <v>34400.822440600001</v>
      </c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 t="s">
        <v>7</v>
      </c>
    </row>
    <row r="27" spans="1:35" ht="15.75">
      <c r="A27" s="51">
        <f>+EndYear</f>
        <v>2016</v>
      </c>
      <c r="B27" s="50">
        <v>45499.605052101098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U27" s="67">
        <f>+'[1]Exercise 6 - Paid-Ldfs'!B27*0.05998495</f>
        <v>22998.049875150002</v>
      </c>
      <c r="V27" s="68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</row>
    <row r="28" spans="1:35" ht="15.75"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53"/>
      <c r="M28" s="53"/>
      <c r="N28" s="53"/>
      <c r="O28" s="53"/>
      <c r="P28" s="53"/>
      <c r="Q28" s="53"/>
      <c r="R28" s="53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30" spans="1:35">
      <c r="A30" s="40" t="str">
        <f>'[1]Exercise 6 - DCC Paid-Ldfs'!$A$10</f>
        <v>Accident</v>
      </c>
      <c r="B30" s="41" t="s">
        <v>8</v>
      </c>
      <c r="C30" s="41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5"/>
      <c r="Q30" s="210"/>
      <c r="R30" s="210"/>
    </row>
    <row r="31" spans="1:35">
      <c r="A31" s="43" t="s">
        <v>5</v>
      </c>
      <c r="B31" s="56" t="s">
        <v>9</v>
      </c>
      <c r="C31" s="56" t="s">
        <v>10</v>
      </c>
      <c r="D31" s="56" t="s">
        <v>11</v>
      </c>
      <c r="E31" s="56" t="s">
        <v>12</v>
      </c>
      <c r="F31" s="56" t="s">
        <v>13</v>
      </c>
      <c r="G31" s="56" t="s">
        <v>14</v>
      </c>
      <c r="H31" s="56" t="s">
        <v>15</v>
      </c>
      <c r="I31" s="56" t="s">
        <v>16</v>
      </c>
      <c r="J31" s="56" t="s">
        <v>17</v>
      </c>
      <c r="K31" s="56" t="s">
        <v>18</v>
      </c>
      <c r="L31" s="56" t="s">
        <v>19</v>
      </c>
      <c r="M31" s="56" t="s">
        <v>20</v>
      </c>
      <c r="N31" s="56" t="s">
        <v>21</v>
      </c>
      <c r="O31" s="56" t="s">
        <v>22</v>
      </c>
      <c r="P31" s="56" t="s">
        <v>23</v>
      </c>
      <c r="Q31" s="211"/>
      <c r="R31" s="211"/>
    </row>
    <row r="32" spans="1:35">
      <c r="A32" s="49"/>
    </row>
    <row r="33" spans="1:35">
      <c r="A33" s="49">
        <f t="shared" ref="A33:A45" si="3">+A14</f>
        <v>2003</v>
      </c>
      <c r="B33" s="53">
        <f>ROUND(C13/B13,3)</f>
        <v>4.1230000000000002</v>
      </c>
      <c r="C33" s="53">
        <f t="shared" ref="C33:N45" si="4">ROUND(D13/C13,3)</f>
        <v>3.5710000000000002</v>
      </c>
      <c r="D33" s="53">
        <f t="shared" si="4"/>
        <v>1.927</v>
      </c>
      <c r="E33" s="53">
        <f t="shared" si="4"/>
        <v>1.246</v>
      </c>
      <c r="F33" s="53">
        <f t="shared" si="4"/>
        <v>1.0349999999999999</v>
      </c>
      <c r="G33" s="53">
        <f t="shared" si="4"/>
        <v>1.0249999999999999</v>
      </c>
      <c r="H33" s="53">
        <f t="shared" si="4"/>
        <v>1.0149999999999999</v>
      </c>
      <c r="I33" s="53">
        <f t="shared" si="4"/>
        <v>1.01</v>
      </c>
      <c r="J33" s="53">
        <f t="shared" si="4"/>
        <v>1.01</v>
      </c>
      <c r="K33" s="53">
        <f t="shared" si="4"/>
        <v>1.01</v>
      </c>
      <c r="L33" s="53">
        <f t="shared" si="4"/>
        <v>1.008</v>
      </c>
      <c r="M33" s="53">
        <f t="shared" si="4"/>
        <v>1.0049999999999999</v>
      </c>
      <c r="N33" s="53">
        <f t="shared" si="4"/>
        <v>1</v>
      </c>
      <c r="O33" s="53">
        <f>ROUND(P13/O13,3)</f>
        <v>1</v>
      </c>
      <c r="U33" s="37">
        <v>4.1230000000000002</v>
      </c>
      <c r="V33" s="37">
        <v>3.5710000000000002</v>
      </c>
      <c r="W33" s="37">
        <v>1.927</v>
      </c>
      <c r="X33" s="37">
        <v>1.2463139999999999</v>
      </c>
      <c r="Y33" s="37">
        <v>1.0346299999999999</v>
      </c>
      <c r="Z33" s="37">
        <v>1.025463</v>
      </c>
      <c r="AA33" s="37">
        <v>1.0149999999999999</v>
      </c>
      <c r="AB33" s="37">
        <v>1.01</v>
      </c>
      <c r="AC33" s="37">
        <v>1.01</v>
      </c>
      <c r="AD33" s="37">
        <v>1.01</v>
      </c>
      <c r="AE33" s="37">
        <v>1.008</v>
      </c>
      <c r="AF33" s="37">
        <v>1.0049999999999999</v>
      </c>
      <c r="AG33" s="37">
        <v>1</v>
      </c>
      <c r="AH33" s="37">
        <v>1</v>
      </c>
      <c r="AI33" s="37">
        <v>1</v>
      </c>
    </row>
    <row r="34" spans="1:35">
      <c r="A34" s="49">
        <f t="shared" si="3"/>
        <v>2004</v>
      </c>
      <c r="B34" s="53">
        <f t="shared" ref="B34:B46" si="5">ROUND(C14/B14,3)</f>
        <v>4.5309999999999997</v>
      </c>
      <c r="C34" s="53">
        <f t="shared" si="4"/>
        <v>3.2130000000000001</v>
      </c>
      <c r="D34" s="53">
        <f t="shared" si="4"/>
        <v>2.46</v>
      </c>
      <c r="E34" s="53">
        <f t="shared" si="4"/>
        <v>1.121</v>
      </c>
      <c r="F34" s="53">
        <f t="shared" si="4"/>
        <v>1.0349999999999999</v>
      </c>
      <c r="G34" s="53">
        <f t="shared" si="4"/>
        <v>1.034</v>
      </c>
      <c r="H34" s="53">
        <f t="shared" si="4"/>
        <v>1.02</v>
      </c>
      <c r="I34" s="53">
        <f t="shared" si="4"/>
        <v>1.0149999999999999</v>
      </c>
      <c r="J34" s="53">
        <f t="shared" si="4"/>
        <v>1.012</v>
      </c>
      <c r="K34" s="53">
        <f t="shared" si="4"/>
        <v>1.0089999999999999</v>
      </c>
      <c r="L34" s="53">
        <f t="shared" si="4"/>
        <v>1.002</v>
      </c>
      <c r="M34" s="53">
        <f t="shared" si="4"/>
        <v>1.01</v>
      </c>
      <c r="N34" s="53">
        <f t="shared" si="4"/>
        <v>1.0049999999999999</v>
      </c>
      <c r="U34" s="37">
        <v>4.5309999999999997</v>
      </c>
      <c r="V34" s="37">
        <v>3.2132139999999998</v>
      </c>
      <c r="W34" s="37">
        <v>2.46</v>
      </c>
      <c r="X34" s="37">
        <v>1.1212</v>
      </c>
      <c r="Y34" s="37">
        <v>1.0354129999999999</v>
      </c>
      <c r="Z34" s="37">
        <v>1.0343500000000001</v>
      </c>
      <c r="AA34" s="37">
        <v>1.02</v>
      </c>
      <c r="AB34" s="37">
        <v>1.0149999999999999</v>
      </c>
      <c r="AC34" s="37">
        <v>1.012</v>
      </c>
      <c r="AD34" s="37">
        <v>1.0089999999999999</v>
      </c>
      <c r="AE34" s="37">
        <v>1.002</v>
      </c>
      <c r="AF34" s="37">
        <v>1.01</v>
      </c>
      <c r="AG34" s="37">
        <v>1.0049999999999999</v>
      </c>
    </row>
    <row r="35" spans="1:35">
      <c r="A35" s="49">
        <f t="shared" si="3"/>
        <v>2005</v>
      </c>
      <c r="B35" s="53">
        <f t="shared" si="5"/>
        <v>2.56</v>
      </c>
      <c r="C35" s="53">
        <f t="shared" si="4"/>
        <v>3.8340000000000001</v>
      </c>
      <c r="D35" s="53">
        <f t="shared" si="4"/>
        <v>1.8460000000000001</v>
      </c>
      <c r="E35" s="53">
        <f t="shared" si="4"/>
        <v>1.3460000000000001</v>
      </c>
      <c r="F35" s="53">
        <f t="shared" si="4"/>
        <v>1.044</v>
      </c>
      <c r="G35" s="53">
        <f t="shared" si="4"/>
        <v>1.024</v>
      </c>
      <c r="H35" s="53">
        <f t="shared" si="4"/>
        <v>1.02</v>
      </c>
      <c r="I35" s="53">
        <f t="shared" si="4"/>
        <v>1.012</v>
      </c>
      <c r="J35" s="53">
        <f t="shared" si="4"/>
        <v>1.0089999999999999</v>
      </c>
      <c r="K35" s="53">
        <f t="shared" si="4"/>
        <v>1.0049999999999999</v>
      </c>
      <c r="L35" s="53">
        <f t="shared" si="4"/>
        <v>1.008</v>
      </c>
      <c r="M35" s="53">
        <f t="shared" si="4"/>
        <v>1.002</v>
      </c>
      <c r="U35" s="37">
        <v>2.56</v>
      </c>
      <c r="V35" s="37">
        <v>3.83413</v>
      </c>
      <c r="W35" s="37">
        <v>1.8463400000000001</v>
      </c>
      <c r="X35" s="37">
        <v>1.3456539999999999</v>
      </c>
      <c r="Y35" s="37">
        <v>1.0443</v>
      </c>
      <c r="Z35" s="37">
        <v>1.0243</v>
      </c>
      <c r="AA35" s="37">
        <v>1.02</v>
      </c>
      <c r="AB35" s="37">
        <v>1.012</v>
      </c>
      <c r="AC35" s="37">
        <v>1.0089999999999999</v>
      </c>
      <c r="AD35" s="37">
        <v>1.0049999999999999</v>
      </c>
      <c r="AE35" s="37">
        <v>1.008</v>
      </c>
      <c r="AF35" s="37">
        <v>1.002</v>
      </c>
    </row>
    <row r="36" spans="1:35">
      <c r="A36" s="49">
        <f t="shared" si="3"/>
        <v>2006</v>
      </c>
      <c r="B36" s="53">
        <f t="shared" si="5"/>
        <v>3.4649999999999999</v>
      </c>
      <c r="C36" s="53">
        <f t="shared" si="4"/>
        <v>3.9409999999999998</v>
      </c>
      <c r="D36" s="53">
        <f t="shared" si="4"/>
        <v>2.2120000000000002</v>
      </c>
      <c r="E36" s="53">
        <f t="shared" si="4"/>
        <v>1.2549999999999999</v>
      </c>
      <c r="F36" s="53">
        <f t="shared" si="4"/>
        <v>1.0249999999999999</v>
      </c>
      <c r="G36" s="53">
        <f t="shared" si="4"/>
        <v>1.026</v>
      </c>
      <c r="H36" s="53">
        <f t="shared" si="4"/>
        <v>1.0149999999999999</v>
      </c>
      <c r="I36" s="53">
        <f t="shared" si="4"/>
        <v>1.0089999999999999</v>
      </c>
      <c r="J36" s="53">
        <f t="shared" si="4"/>
        <v>1.0049999999999999</v>
      </c>
      <c r="K36" s="53">
        <f t="shared" si="4"/>
        <v>1.004</v>
      </c>
      <c r="L36" s="53">
        <f t="shared" si="4"/>
        <v>1.01</v>
      </c>
      <c r="U36" s="37">
        <v>3.4649999999999999</v>
      </c>
      <c r="V36" s="37">
        <v>3.9413</v>
      </c>
      <c r="W36" s="37">
        <v>2.2120000000000002</v>
      </c>
      <c r="X36" s="37">
        <v>1.2545299999999999</v>
      </c>
      <c r="Y36" s="37">
        <v>1.0254132</v>
      </c>
      <c r="Z36" s="37">
        <v>1.026143</v>
      </c>
      <c r="AA36" s="37">
        <v>1.0149999999999999</v>
      </c>
      <c r="AB36" s="37">
        <v>1.0089999999999999</v>
      </c>
      <c r="AC36" s="37">
        <v>1.0049999999999999</v>
      </c>
      <c r="AD36" s="37">
        <v>1.004</v>
      </c>
      <c r="AE36" s="37">
        <v>1.01</v>
      </c>
    </row>
    <row r="37" spans="1:35">
      <c r="A37" s="49">
        <f t="shared" si="3"/>
        <v>2007</v>
      </c>
      <c r="B37" s="53">
        <f t="shared" si="5"/>
        <v>4.1470000000000002</v>
      </c>
      <c r="C37" s="53">
        <f t="shared" si="4"/>
        <v>3.1139999999999999</v>
      </c>
      <c r="D37" s="53">
        <f t="shared" si="4"/>
        <v>2.1749999999999998</v>
      </c>
      <c r="E37" s="53">
        <f t="shared" si="4"/>
        <v>1.3640000000000001</v>
      </c>
      <c r="F37" s="53">
        <f t="shared" si="4"/>
        <v>1.0209999999999999</v>
      </c>
      <c r="G37" s="53">
        <f t="shared" si="4"/>
        <v>1.016</v>
      </c>
      <c r="H37" s="53">
        <f t="shared" si="4"/>
        <v>1.03</v>
      </c>
      <c r="I37" s="53">
        <f t="shared" si="4"/>
        <v>1.008</v>
      </c>
      <c r="J37" s="53">
        <f t="shared" si="4"/>
        <v>1.006</v>
      </c>
      <c r="K37" s="53">
        <f t="shared" si="4"/>
        <v>1.0049999999999999</v>
      </c>
      <c r="U37" s="37">
        <v>4.1465399999999999</v>
      </c>
      <c r="V37" s="37">
        <v>3.1143000000000001</v>
      </c>
      <c r="W37" s="37">
        <v>2.1745999999999999</v>
      </c>
      <c r="X37" s="37">
        <v>1.3643000000000001</v>
      </c>
      <c r="Y37" s="37">
        <v>1.0214300000000001</v>
      </c>
      <c r="Z37" s="37">
        <v>1.01641</v>
      </c>
      <c r="AA37" s="37">
        <v>1.03</v>
      </c>
      <c r="AB37" s="37">
        <v>1.008</v>
      </c>
      <c r="AC37" s="37">
        <v>1.006</v>
      </c>
      <c r="AD37" s="37">
        <v>1.0049999999999999</v>
      </c>
    </row>
    <row r="38" spans="1:35">
      <c r="A38" s="49">
        <f t="shared" si="3"/>
        <v>2008</v>
      </c>
      <c r="B38" s="53">
        <f t="shared" si="5"/>
        <v>5.4160000000000004</v>
      </c>
      <c r="C38" s="53">
        <f t="shared" si="4"/>
        <v>2.976</v>
      </c>
      <c r="D38" s="53">
        <f t="shared" si="4"/>
        <v>1.7909999999999999</v>
      </c>
      <c r="E38" s="53">
        <f t="shared" si="4"/>
        <v>1.145</v>
      </c>
      <c r="F38" s="53">
        <f t="shared" si="4"/>
        <v>1.0329999999999999</v>
      </c>
      <c r="G38" s="53">
        <f t="shared" si="4"/>
        <v>1.0369999999999999</v>
      </c>
      <c r="H38" s="53">
        <f t="shared" si="4"/>
        <v>1</v>
      </c>
      <c r="I38" s="53">
        <f t="shared" si="4"/>
        <v>1.01</v>
      </c>
      <c r="J38" s="53">
        <f t="shared" si="4"/>
        <v>1.01</v>
      </c>
      <c r="K38" s="53"/>
      <c r="L38" s="53"/>
      <c r="M38" s="53"/>
      <c r="N38" s="53"/>
      <c r="O38" s="53"/>
      <c r="P38" s="53"/>
      <c r="Q38" s="53"/>
      <c r="R38" s="53"/>
      <c r="U38" s="37">
        <v>5.4164000000000003</v>
      </c>
      <c r="V38" s="37">
        <v>2.9756</v>
      </c>
      <c r="W38" s="37">
        <v>1.7909999999999999</v>
      </c>
      <c r="X38" s="37">
        <v>1.1446339999999999</v>
      </c>
      <c r="Y38" s="37">
        <v>1.03321</v>
      </c>
      <c r="Z38" s="37">
        <v>1.0369413199999999</v>
      </c>
      <c r="AA38" s="37">
        <v>1</v>
      </c>
      <c r="AB38" s="37">
        <v>1.01</v>
      </c>
      <c r="AC38" s="37">
        <v>1.01</v>
      </c>
    </row>
    <row r="39" spans="1:35">
      <c r="A39" s="49">
        <f t="shared" si="3"/>
        <v>2009</v>
      </c>
      <c r="B39" s="53">
        <f t="shared" si="5"/>
        <v>4.2409999999999997</v>
      </c>
      <c r="C39" s="53">
        <f t="shared" si="4"/>
        <v>2.9430000000000001</v>
      </c>
      <c r="D39" s="53">
        <f>ROUND(E19/D19,3)</f>
        <v>1.641</v>
      </c>
      <c r="E39" s="53">
        <f t="shared" si="4"/>
        <v>1.3939999999999999</v>
      </c>
      <c r="F39" s="53">
        <f t="shared" si="4"/>
        <v>1.0249999999999999</v>
      </c>
      <c r="G39" s="53">
        <f t="shared" si="4"/>
        <v>1.044</v>
      </c>
      <c r="H39" s="53">
        <f t="shared" si="4"/>
        <v>1.01</v>
      </c>
      <c r="I39" s="53">
        <f t="shared" si="4"/>
        <v>1.016</v>
      </c>
      <c r="J39" s="53"/>
      <c r="K39" s="53"/>
      <c r="L39" s="53"/>
      <c r="M39" s="53"/>
      <c r="N39" s="53"/>
      <c r="O39" s="53"/>
      <c r="P39" s="53"/>
      <c r="Q39" s="53"/>
      <c r="R39" s="53"/>
      <c r="U39" s="37">
        <v>4.2414100000000001</v>
      </c>
      <c r="V39" s="37">
        <v>2.9430000000000001</v>
      </c>
      <c r="W39" s="37">
        <v>1.6413</v>
      </c>
      <c r="X39" s="37">
        <v>1.3943000000000001</v>
      </c>
      <c r="Y39" s="37">
        <v>1.0247599999999999</v>
      </c>
      <c r="Z39" s="37">
        <v>1.04423</v>
      </c>
      <c r="AA39" s="37">
        <v>1.01</v>
      </c>
      <c r="AB39" s="37">
        <v>1.016</v>
      </c>
    </row>
    <row r="40" spans="1:35">
      <c r="A40" s="49">
        <f t="shared" si="3"/>
        <v>2010</v>
      </c>
      <c r="B40" s="53">
        <f t="shared" si="5"/>
        <v>4.1130000000000004</v>
      </c>
      <c r="C40" s="53">
        <f t="shared" si="4"/>
        <v>4.6779999999999999</v>
      </c>
      <c r="D40" s="53">
        <f t="shared" si="4"/>
        <v>2.577</v>
      </c>
      <c r="E40" s="53">
        <f t="shared" si="4"/>
        <v>1.544</v>
      </c>
      <c r="F40" s="53">
        <f t="shared" si="4"/>
        <v>1.028</v>
      </c>
      <c r="G40" s="53">
        <f t="shared" si="4"/>
        <v>1.012</v>
      </c>
      <c r="H40" s="53">
        <f t="shared" si="4"/>
        <v>1.012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U40" s="37">
        <v>4.1131399999999996</v>
      </c>
      <c r="V40" s="37">
        <v>4.6779999999999999</v>
      </c>
      <c r="W40" s="37">
        <v>2.5769700000000002</v>
      </c>
      <c r="X40" s="37">
        <v>1.5436000000000001</v>
      </c>
      <c r="Y40" s="37">
        <v>1.0284759999999999</v>
      </c>
      <c r="Z40" s="37">
        <v>1.012413</v>
      </c>
      <c r="AA40" s="37">
        <v>1.012</v>
      </c>
    </row>
    <row r="41" spans="1:35">
      <c r="A41" s="49">
        <f t="shared" si="3"/>
        <v>2011</v>
      </c>
      <c r="B41" s="53">
        <f t="shared" si="5"/>
        <v>3.9140000000000001</v>
      </c>
      <c r="C41" s="53">
        <f t="shared" si="4"/>
        <v>3.8460000000000001</v>
      </c>
      <c r="D41" s="53">
        <f t="shared" si="4"/>
        <v>1.98</v>
      </c>
      <c r="E41" s="53">
        <f t="shared" si="4"/>
        <v>1.4650000000000001</v>
      </c>
      <c r="F41" s="53">
        <f t="shared" si="4"/>
        <v>1.0349999999999999</v>
      </c>
      <c r="G41" s="53">
        <f t="shared" si="4"/>
        <v>1.0249999999999999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U41" s="37">
        <v>3.9143539999999999</v>
      </c>
      <c r="V41" s="37">
        <v>3.8460000000000001</v>
      </c>
      <c r="W41" s="37">
        <v>1.97963</v>
      </c>
      <c r="X41" s="37">
        <v>1.4644999999999999</v>
      </c>
      <c r="Y41" s="37">
        <v>1.0354129999999999</v>
      </c>
      <c r="Z41" s="37">
        <v>1.0254300000000001</v>
      </c>
    </row>
    <row r="42" spans="1:35">
      <c r="A42" s="49">
        <f t="shared" si="3"/>
        <v>2012</v>
      </c>
      <c r="B42" s="53">
        <f t="shared" si="5"/>
        <v>3.8159999999999998</v>
      </c>
      <c r="C42" s="53">
        <f t="shared" si="4"/>
        <v>4.46</v>
      </c>
      <c r="D42" s="53">
        <f t="shared" si="4"/>
        <v>1.7310000000000001</v>
      </c>
      <c r="E42" s="53">
        <f t="shared" si="4"/>
        <v>1.2410000000000001</v>
      </c>
      <c r="F42" s="53">
        <f t="shared" si="4"/>
        <v>1.0289999999999999</v>
      </c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U42" s="37">
        <v>3.8156430000000001</v>
      </c>
      <c r="V42" s="37">
        <v>4.46</v>
      </c>
      <c r="W42" s="37">
        <v>1.7310000000000001</v>
      </c>
      <c r="X42" s="37">
        <v>1.24136</v>
      </c>
      <c r="Y42" s="37">
        <v>1.0294300000000001</v>
      </c>
    </row>
    <row r="43" spans="1:35">
      <c r="A43" s="49">
        <f t="shared" si="3"/>
        <v>2013</v>
      </c>
      <c r="B43" s="53">
        <f t="shared" si="5"/>
        <v>3.532</v>
      </c>
      <c r="C43" s="53">
        <f t="shared" si="4"/>
        <v>3.6459999999999999</v>
      </c>
      <c r="D43" s="53">
        <f t="shared" si="4"/>
        <v>2.3460000000000001</v>
      </c>
      <c r="E43" s="53">
        <f t="shared" si="4"/>
        <v>1.155</v>
      </c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U43" s="37">
        <v>3.532</v>
      </c>
      <c r="V43" s="37">
        <v>3.6459999999999999</v>
      </c>
      <c r="W43" s="37">
        <v>2.3462999999999998</v>
      </c>
      <c r="X43" s="37">
        <v>1.1546000000000001</v>
      </c>
    </row>
    <row r="44" spans="1:35">
      <c r="A44" s="49">
        <f t="shared" si="3"/>
        <v>2014</v>
      </c>
      <c r="B44" s="53">
        <f t="shared" si="5"/>
        <v>4.6139999999999999</v>
      </c>
      <c r="C44" s="53">
        <f t="shared" si="4"/>
        <v>3.746</v>
      </c>
      <c r="D44" s="53">
        <f t="shared" si="4"/>
        <v>2.5459999999999998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U44" s="37">
        <v>4.6143599999999996</v>
      </c>
      <c r="V44" s="37">
        <v>3.7463000000000002</v>
      </c>
      <c r="W44" s="37">
        <v>2.5459999999999998</v>
      </c>
    </row>
    <row r="45" spans="1:35">
      <c r="A45" s="49">
        <f t="shared" si="3"/>
        <v>2015</v>
      </c>
      <c r="B45" s="53">
        <f t="shared" si="5"/>
        <v>3.83</v>
      </c>
      <c r="C45" s="53">
        <f t="shared" si="4"/>
        <v>3.2149999999999999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U45" s="37">
        <v>3.83</v>
      </c>
      <c r="V45" s="37">
        <v>3.2145999999999999</v>
      </c>
    </row>
    <row r="46" spans="1:35">
      <c r="A46" s="51">
        <f>+A27</f>
        <v>2016</v>
      </c>
      <c r="B46" s="53">
        <f t="shared" si="5"/>
        <v>1.5640000000000001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U46" s="37">
        <v>4.2435999999999998</v>
      </c>
    </row>
    <row r="47" spans="1:35">
      <c r="B47" s="58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</row>
    <row r="48" spans="1:35">
      <c r="A48" s="59" t="s">
        <v>24</v>
      </c>
      <c r="B48" s="59"/>
    </row>
    <row r="49" spans="1:19">
      <c r="A49" s="59" t="s">
        <v>25</v>
      </c>
      <c r="B49" s="53">
        <f>ROUND(AVERAGE(B44:B46),3)</f>
        <v>3.3359999999999999</v>
      </c>
      <c r="C49" s="53">
        <f>ROUND(AVERAGE(C43:C45),3)</f>
        <v>3.536</v>
      </c>
      <c r="D49" s="53">
        <f>ROUND(AVERAGE(D42:D44),3)</f>
        <v>2.2080000000000002</v>
      </c>
      <c r="E49" s="53">
        <f>ROUND(AVERAGE(E41:E43),3)</f>
        <v>1.2869999999999999</v>
      </c>
      <c r="F49" s="53">
        <f>ROUND(AVERAGE(F40:F42),3)</f>
        <v>1.0309999999999999</v>
      </c>
      <c r="G49" s="53">
        <f>ROUND(AVERAGE(G39:G41),3)</f>
        <v>1.0269999999999999</v>
      </c>
      <c r="H49" s="53">
        <f>ROUND(AVERAGE(H38:H40),3)</f>
        <v>1.0069999999999999</v>
      </c>
      <c r="I49" s="53">
        <f>ROUND(AVERAGE(I37:I39),3)</f>
        <v>1.0109999999999999</v>
      </c>
      <c r="J49" s="53">
        <f>ROUND(AVERAGE(J36:J38),3)</f>
        <v>1.0069999999999999</v>
      </c>
      <c r="K49" s="53">
        <f>ROUND(AVERAGE(K35:K37),3)</f>
        <v>1.0049999999999999</v>
      </c>
      <c r="L49" s="53">
        <f>ROUND(AVERAGE(L34:L36),3)</f>
        <v>1.0069999999999999</v>
      </c>
      <c r="M49" s="53">
        <f>ROUND(AVERAGE(M33:M35),3)</f>
        <v>1.006</v>
      </c>
      <c r="N49" s="53"/>
      <c r="O49" s="53"/>
      <c r="P49" s="53"/>
      <c r="Q49" s="53"/>
      <c r="R49" s="53"/>
    </row>
    <row r="50" spans="1:19">
      <c r="A50" s="59" t="s">
        <v>26</v>
      </c>
      <c r="B50" s="53">
        <f>ROUND(AVERAGE(B42:B46),3)</f>
        <v>3.4710000000000001</v>
      </c>
      <c r="C50" s="53">
        <f>ROUND(AVERAGE(C41:C45),3)</f>
        <v>3.7829999999999999</v>
      </c>
      <c r="D50" s="53">
        <f>ROUND(AVERAGE(D40:D44),3)</f>
        <v>2.2360000000000002</v>
      </c>
      <c r="E50" s="53">
        <f>ROUND(AVERAGE(E39:E43),3)</f>
        <v>1.36</v>
      </c>
      <c r="F50" s="53">
        <f>ROUND(AVERAGE(F38:F42),3)</f>
        <v>1.03</v>
      </c>
      <c r="G50" s="53">
        <f>ROUND(AVERAGE(G37:G41),3)</f>
        <v>1.0269999999999999</v>
      </c>
      <c r="H50" s="53">
        <f>ROUND(AVERAGE(H36:H40),3)</f>
        <v>1.0129999999999999</v>
      </c>
      <c r="I50" s="53">
        <f>ROUND(AVERAGE(I35:I39),3)</f>
        <v>1.0109999999999999</v>
      </c>
      <c r="J50" s="53">
        <f>ROUND(AVERAGE(J34:J38),3)</f>
        <v>1.008</v>
      </c>
      <c r="K50" s="53">
        <f>ROUND(AVERAGE(K33:K37),3)</f>
        <v>1.0069999999999999</v>
      </c>
      <c r="L50" s="53">
        <f>ROUND(AVERAGE(L32:L36),3)</f>
        <v>1.0069999999999999</v>
      </c>
      <c r="M50" s="53"/>
      <c r="N50" s="53"/>
      <c r="O50" s="53"/>
      <c r="P50" s="53"/>
      <c r="Q50" s="53"/>
      <c r="R50" s="53"/>
    </row>
    <row r="51" spans="1:19">
      <c r="A51" s="59" t="s">
        <v>27</v>
      </c>
      <c r="B51" s="53">
        <f>ROUND((SUM(B42:B46)-MAX(B42:B46)-MIN(B42:B46))/3,3)</f>
        <v>3.726</v>
      </c>
      <c r="C51" s="53">
        <f>ROUND((SUM(C41:C45)-MAX(C41:C45)-MIN(C41:C45))/3,3)</f>
        <v>3.746</v>
      </c>
      <c r="D51" s="53">
        <f>ROUND((SUM(D40:D44)-MAX(D40:D44)-MIN(D40:D44))/3,3)</f>
        <v>2.2909999999999999</v>
      </c>
      <c r="E51" s="53">
        <f>ROUND((SUM(E39:E43)-MAX(E39:E43)-MIN(E39:E43))/3,3)</f>
        <v>1.367</v>
      </c>
      <c r="F51" s="53">
        <f>ROUND((SUM(F38:F42)-MAX(F38:F42)-MIN(F38:F42))/3,3)</f>
        <v>1.03</v>
      </c>
      <c r="G51" s="53">
        <f>ROUND((SUM(G37:G41)-MAX(G37:G41)-MIN(G37:G41))/3,3)</f>
        <v>1.026</v>
      </c>
      <c r="H51" s="53">
        <f>ROUND((SUM(H36:H40)-MAX(H36:H40)-MIN(H36:H40))/3,3)</f>
        <v>1.012</v>
      </c>
      <c r="I51" s="53">
        <f>ROUND((SUM(I35:I39)-MAX(I35:I39)-MIN(I35:I39))/3,3)</f>
        <v>1.01</v>
      </c>
      <c r="J51" s="53">
        <f>ROUND((SUM(J34:J38)-MAX(J34:J38)-MIN(J34:J38))/3,3)</f>
        <v>1.008</v>
      </c>
      <c r="K51" s="53">
        <f>ROUND((SUM(K33:K37)-MAX(K33:K37)-MIN(K33:K37))/3,3)</f>
        <v>1.006</v>
      </c>
      <c r="L51" s="294">
        <f>ROUND((SUM(L32:L36)-MAX(L32:L36)-MIN(L32:L36))/3,3)</f>
        <v>0.67200000000000004</v>
      </c>
      <c r="N51" s="53"/>
      <c r="O51" s="53"/>
      <c r="P51" s="53"/>
      <c r="Q51" s="53"/>
      <c r="R51" s="53"/>
      <c r="S51" s="58"/>
    </row>
    <row r="52" spans="1:19">
      <c r="A52" s="60" t="s">
        <v>28</v>
      </c>
      <c r="B52" s="53">
        <f>AVERAGE(B32:B47)</f>
        <v>3.8475714285714284</v>
      </c>
      <c r="C52" s="53">
        <f>AVERAGE(C31:C46)</f>
        <v>3.629461538461539</v>
      </c>
      <c r="D52" s="53">
        <f>AVERAGE(D30:D45)</f>
        <v>2.1026666666666669</v>
      </c>
      <c r="E52" s="53">
        <f>AVERAGE(E29:E44)</f>
        <v>1.2978181818181818</v>
      </c>
      <c r="F52" s="53">
        <f>AVERAGE(F28:F43)</f>
        <v>1.0310000000000001</v>
      </c>
      <c r="G52" s="53">
        <f>AVERAGE(G27:G42)</f>
        <v>1.0270000000000001</v>
      </c>
      <c r="H52" s="53">
        <f>AVERAGE(H26:H41)</f>
        <v>1.01525</v>
      </c>
      <c r="I52" s="53">
        <f>AVERAGE(I25:I40)</f>
        <v>1.0114285714285713</v>
      </c>
      <c r="J52" s="53">
        <f>AVERAGE(J24:J39)</f>
        <v>1.0086666666666666</v>
      </c>
      <c r="K52" s="53">
        <f>AVERAGE(K23:K38)</f>
        <v>1.0066000000000002</v>
      </c>
      <c r="L52" s="53">
        <f>AVERAGE(L22:L37)</f>
        <v>1.0069999999999999</v>
      </c>
      <c r="M52" s="53">
        <f>AVERAGE(M21:M36)</f>
        <v>1.0056666666666665</v>
      </c>
      <c r="N52" s="53">
        <f>AVERAGE(N20:N35)</f>
        <v>1.0024999999999999</v>
      </c>
      <c r="O52" s="53">
        <f>AVERAGE(O20:O35)</f>
        <v>1</v>
      </c>
      <c r="P52" s="53"/>
      <c r="Q52" s="53"/>
      <c r="R52" s="53"/>
      <c r="S52" s="58"/>
    </row>
    <row r="53" spans="1:19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8"/>
    </row>
    <row r="54" spans="1:19">
      <c r="A54" s="59" t="s">
        <v>29</v>
      </c>
      <c r="B54" s="53">
        <f>ROUND(SUM(C24:C26)/SUM(B24:B26),3)</f>
        <v>2.6859999999999999</v>
      </c>
      <c r="C54" s="53">
        <f>ROUND(SUM(D23:D25)/SUM(C23:C25),3)</f>
        <v>3.4580000000000002</v>
      </c>
      <c r="D54" s="53">
        <f>ROUND(SUM(E22:E24)/SUM(D22:D24),3)</f>
        <v>2.1339999999999999</v>
      </c>
      <c r="E54" s="53">
        <f>ROUND(SUM(F21:F23)/SUM(E21:E23),3)</f>
        <v>1.2709999999999999</v>
      </c>
      <c r="F54" s="53">
        <f>ROUND(SUM(G20:G22)/SUM(F20:F22),3)</f>
        <v>1.0309999999999999</v>
      </c>
      <c r="G54" s="53">
        <f>ROUND(SUM(H19:H21)/SUM(G19:G21),3)</f>
        <v>1.028</v>
      </c>
      <c r="H54" s="53">
        <f>ROUND(SUM(I18:I20)/SUM(H18:H20),3)</f>
        <v>1.0069999999999999</v>
      </c>
      <c r="I54" s="53">
        <f>ROUND(SUM(J17:J19)/SUM(I17:I19),3)</f>
        <v>1.012</v>
      </c>
      <c r="J54" s="53">
        <f>ROUND(SUM(K16:K18)/SUM(J16:J18),3)</f>
        <v>1.0069999999999999</v>
      </c>
      <c r="K54" s="53">
        <f>ROUND(SUM(L15:L17)/SUM(K15:K17),3)</f>
        <v>1.0049999999999999</v>
      </c>
      <c r="L54" s="53">
        <f>ROUND(SUM(M14:M16)/SUM(L14:L16),3)</f>
        <v>1.0069999999999999</v>
      </c>
      <c r="M54" s="53">
        <f>ROUND(SUM(N13:N15)/SUM(M13:M15),3)</f>
        <v>1.006</v>
      </c>
      <c r="N54" s="53">
        <f>ROUND(SUM(O12:O14)/SUM(N12:N14),3)</f>
        <v>1.0029999999999999</v>
      </c>
      <c r="O54" s="53"/>
      <c r="P54" s="53"/>
      <c r="Q54" s="53"/>
      <c r="R54" s="53"/>
      <c r="S54" s="58"/>
    </row>
    <row r="55" spans="1:19">
      <c r="A55" s="59" t="s">
        <v>30</v>
      </c>
      <c r="B55" s="53">
        <f>ROUND(SUM(C22:C26)/SUM(B22:B26),3)</f>
        <v>2.984</v>
      </c>
      <c r="C55" s="53">
        <f>ROUND(SUM(D21:D25)/SUM(C21:C25),3)</f>
        <v>3.722</v>
      </c>
      <c r="D55" s="53">
        <f>ROUND(SUM(E20:E24)/SUM(D20:D24),3)</f>
        <v>2.1709999999999998</v>
      </c>
      <c r="E55" s="53">
        <f>ROUND(SUM(F19:F23)/SUM(E19:E23),3)</f>
        <v>1.345</v>
      </c>
      <c r="F55" s="53">
        <f>ROUND(SUM(G18:G22)/SUM(F18:F22),3)</f>
        <v>1.03</v>
      </c>
      <c r="G55" s="53">
        <f>ROUND(SUM(H17:H21)/SUM(G17:G21),3)</f>
        <v>1.028</v>
      </c>
      <c r="H55" s="53">
        <f>ROUND(SUM(I16:I20)/SUM(H16:H20),3)</f>
        <v>1.012</v>
      </c>
      <c r="I55" s="53">
        <f>ROUND(SUM(J15:J19)/SUM(I15:I19),3)</f>
        <v>1.0109999999999999</v>
      </c>
      <c r="J55" s="53">
        <f>ROUND(SUM(K14:K18)/SUM(J14:J18),3)</f>
        <v>1.008</v>
      </c>
      <c r="K55" s="53">
        <f>ROUND(SUM(L13:L17)/SUM(K13:K17),3)</f>
        <v>1.006</v>
      </c>
      <c r="L55" s="53">
        <f>ROUND(SUM(M12:M16)/SUM(L12:L16),3)</f>
        <v>1.0069999999999999</v>
      </c>
      <c r="P55" s="53"/>
      <c r="Q55" s="53"/>
      <c r="R55" s="53"/>
      <c r="S55" s="58"/>
    </row>
    <row r="56" spans="1:19">
      <c r="A56" s="60" t="s">
        <v>28</v>
      </c>
      <c r="B56" s="53">
        <f>SUM(C$13:C26)/SUM(B$13:B26)</f>
        <v>3.5636116590167157</v>
      </c>
      <c r="C56" s="53">
        <f>SUM(D$13:D25)/SUM(C$13:C25)</f>
        <v>3.5045659196332015</v>
      </c>
      <c r="D56" s="53">
        <f>SUM(E$13:E24)/SUM(D$13:D24)</f>
        <v>2.0430711667060644</v>
      </c>
      <c r="E56" s="53">
        <f>SUM(F$13:F23)/SUM(E$13:E23)</f>
        <v>1.2894387707638617</v>
      </c>
      <c r="F56" s="53">
        <f>SUM(G$13:G22)/SUM(F$13:F22)</f>
        <v>1.0307300822991243</v>
      </c>
      <c r="G56" s="53">
        <f>SUM(H$13:H21)/SUM(G$13:G21)</f>
        <v>1.0277829790125432</v>
      </c>
      <c r="H56" s="53">
        <f>SUM(I$13:I20)/SUM(H$13:H20)</f>
        <v>1.014264500202841</v>
      </c>
      <c r="I56" s="53">
        <f>SUM(J$13:J19)/SUM(I$13:I19)</f>
        <v>1.011566368825374</v>
      </c>
      <c r="J56" s="53">
        <f>SUM(K$13:K18)/SUM(J$13:J18)</f>
        <v>1.0085674972209362</v>
      </c>
      <c r="K56" s="53">
        <f>SUM(L$13:L17)/SUM(K$13:K17)</f>
        <v>1.0063558839808389</v>
      </c>
      <c r="L56" s="53">
        <f>SUM(M$13:M16)/SUM(L$13:L16)</f>
        <v>1.0070917995284372</v>
      </c>
      <c r="M56" s="53">
        <f>SUM(N$13:N15)/SUM(M$13:M15)</f>
        <v>1.005667626603423</v>
      </c>
      <c r="N56" s="53">
        <f>SUM(O$13:O14)/SUM(N$13:N14)</f>
        <v>1.0027143992898726</v>
      </c>
      <c r="O56" s="53">
        <f>SUM(P$13:P13)/SUM(O$13:O13)</f>
        <v>1</v>
      </c>
      <c r="P56" s="53"/>
      <c r="Q56" s="53"/>
      <c r="R56" s="53"/>
      <c r="S56" s="58"/>
    </row>
    <row r="57" spans="1:19"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8"/>
    </row>
    <row r="58" spans="1:19">
      <c r="A58" s="38" t="s">
        <v>31</v>
      </c>
      <c r="B58" s="61" t="s">
        <v>33</v>
      </c>
      <c r="C58" s="61" t="s">
        <v>33</v>
      </c>
      <c r="D58" s="61" t="s">
        <v>33</v>
      </c>
      <c r="E58" s="61" t="s">
        <v>33</v>
      </c>
      <c r="F58" s="61" t="s">
        <v>33</v>
      </c>
      <c r="G58" s="61" t="s">
        <v>33</v>
      </c>
      <c r="H58" s="61" t="s">
        <v>33</v>
      </c>
      <c r="I58" s="61" t="s">
        <v>33</v>
      </c>
      <c r="J58" s="61" t="s">
        <v>33</v>
      </c>
      <c r="K58" s="61" t="s">
        <v>33</v>
      </c>
      <c r="L58" s="61" t="s">
        <v>33</v>
      </c>
      <c r="M58" s="61" t="s">
        <v>33</v>
      </c>
      <c r="N58" s="61" t="s">
        <v>33</v>
      </c>
      <c r="O58" s="61" t="s">
        <v>33</v>
      </c>
      <c r="P58" s="61" t="s">
        <v>33</v>
      </c>
      <c r="Q58" s="61"/>
      <c r="R58" s="61"/>
      <c r="S58" s="58"/>
    </row>
    <row r="59" spans="1:19">
      <c r="A59" s="38" t="s">
        <v>32</v>
      </c>
      <c r="B59" s="61" t="s">
        <v>33</v>
      </c>
      <c r="C59" s="61" t="s">
        <v>33</v>
      </c>
      <c r="D59" s="61" t="s">
        <v>33</v>
      </c>
      <c r="E59" s="61" t="s">
        <v>33</v>
      </c>
      <c r="F59" s="61" t="s">
        <v>33</v>
      </c>
      <c r="G59" s="61" t="s">
        <v>33</v>
      </c>
      <c r="H59" s="61" t="s">
        <v>33</v>
      </c>
      <c r="I59" s="61" t="s">
        <v>33</v>
      </c>
      <c r="J59" s="61" t="s">
        <v>33</v>
      </c>
      <c r="K59" s="61" t="s">
        <v>33</v>
      </c>
      <c r="L59" s="61" t="s">
        <v>33</v>
      </c>
      <c r="M59" s="61" t="s">
        <v>33</v>
      </c>
      <c r="N59" s="61" t="s">
        <v>33</v>
      </c>
      <c r="O59" s="61" t="s">
        <v>33</v>
      </c>
      <c r="P59" s="61" t="s">
        <v>33</v>
      </c>
      <c r="Q59" s="61"/>
      <c r="R59" s="61"/>
      <c r="S59" s="58"/>
    </row>
    <row r="60" spans="1:19"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8"/>
    </row>
    <row r="61" spans="1:19">
      <c r="A61" s="38" t="s">
        <v>34</v>
      </c>
      <c r="B61" s="32">
        <f>+B56</f>
        <v>3.5636116590167157</v>
      </c>
      <c r="C61" s="32">
        <f t="shared" ref="C61:O61" si="6">+C56</f>
        <v>3.5045659196332015</v>
      </c>
      <c r="D61" s="32">
        <f t="shared" si="6"/>
        <v>2.0430711667060644</v>
      </c>
      <c r="E61" s="32">
        <f t="shared" si="6"/>
        <v>1.2894387707638617</v>
      </c>
      <c r="F61" s="32">
        <f t="shared" si="6"/>
        <v>1.0307300822991243</v>
      </c>
      <c r="G61" s="32">
        <f t="shared" si="6"/>
        <v>1.0277829790125432</v>
      </c>
      <c r="H61" s="32">
        <f t="shared" si="6"/>
        <v>1.014264500202841</v>
      </c>
      <c r="I61" s="32">
        <f t="shared" si="6"/>
        <v>1.011566368825374</v>
      </c>
      <c r="J61" s="32">
        <f t="shared" si="6"/>
        <v>1.0085674972209362</v>
      </c>
      <c r="K61" s="32">
        <f t="shared" si="6"/>
        <v>1.0063558839808389</v>
      </c>
      <c r="L61" s="32">
        <f t="shared" si="6"/>
        <v>1.0070917995284372</v>
      </c>
      <c r="M61" s="32">
        <f t="shared" si="6"/>
        <v>1.005667626603423</v>
      </c>
      <c r="N61" s="32">
        <f t="shared" si="6"/>
        <v>1.0027143992898726</v>
      </c>
      <c r="O61" s="32">
        <f t="shared" si="6"/>
        <v>1</v>
      </c>
      <c r="P61" s="213">
        <v>1</v>
      </c>
      <c r="Q61" s="212"/>
      <c r="R61" s="212"/>
      <c r="S61" s="58"/>
    </row>
    <row r="62" spans="1:19">
      <c r="A62" s="38" t="s">
        <v>35</v>
      </c>
      <c r="B62" s="53">
        <f t="shared" ref="B62:N62" si="7">B61*C62</f>
        <v>36.860238669053679</v>
      </c>
      <c r="C62" s="53">
        <f t="shared" si="7"/>
        <v>10.343506025913129</v>
      </c>
      <c r="D62" s="53">
        <f t="shared" si="7"/>
        <v>2.9514371431756978</v>
      </c>
      <c r="E62" s="53">
        <f t="shared" si="7"/>
        <v>1.4446080935761743</v>
      </c>
      <c r="F62" s="53">
        <f t="shared" si="7"/>
        <v>1.1203386514587199</v>
      </c>
      <c r="G62" s="53">
        <f t="shared" si="7"/>
        <v>1.0869369883526798</v>
      </c>
      <c r="H62" s="53">
        <f t="shared" si="7"/>
        <v>1.0575549610648054</v>
      </c>
      <c r="I62" s="53">
        <f t="shared" si="7"/>
        <v>1.0426816287598617</v>
      </c>
      <c r="J62" s="53">
        <f t="shared" si="7"/>
        <v>1.0307594843931185</v>
      </c>
      <c r="K62" s="53">
        <f t="shared" si="7"/>
        <v>1.0220034724828346</v>
      </c>
      <c r="L62" s="53">
        <f t="shared" si="7"/>
        <v>1.0155487623723116</v>
      </c>
      <c r="M62" s="53">
        <f t="shared" si="7"/>
        <v>1.0083974100949231</v>
      </c>
      <c r="N62" s="53">
        <f t="shared" si="7"/>
        <v>1.0027143992898726</v>
      </c>
      <c r="O62" s="53">
        <f>O61*P62</f>
        <v>1</v>
      </c>
      <c r="P62" s="53">
        <f>P61</f>
        <v>1</v>
      </c>
      <c r="Q62" s="53"/>
      <c r="R62" s="53"/>
      <c r="S62" s="58"/>
    </row>
    <row r="63" spans="1:19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</row>
    <row r="64" spans="1:19">
      <c r="B64" s="38"/>
    </row>
    <row r="65" spans="1:15">
      <c r="B65" s="70"/>
      <c r="C65" s="70"/>
      <c r="D65" s="70"/>
      <c r="E65" s="70"/>
      <c r="F65" s="70"/>
      <c r="G65" s="71"/>
      <c r="H65" s="70"/>
      <c r="I65" s="70"/>
      <c r="J65" s="70"/>
      <c r="K65" s="70"/>
      <c r="L65" s="70"/>
      <c r="M65" s="70"/>
      <c r="N65" s="70"/>
      <c r="O65" s="70"/>
    </row>
    <row r="66" spans="1:15">
      <c r="B66" s="45"/>
      <c r="D66" s="45"/>
      <c r="E66" s="45"/>
      <c r="F66" s="45"/>
      <c r="G66" s="72"/>
      <c r="H66" s="45"/>
      <c r="I66" s="45"/>
      <c r="J66" s="45"/>
      <c r="K66" s="45"/>
      <c r="L66" s="45"/>
      <c r="M66" s="45"/>
      <c r="N66" s="45"/>
      <c r="O66" s="45"/>
    </row>
    <row r="67" spans="1:15">
      <c r="C67" s="45"/>
    </row>
    <row r="71" spans="1:15">
      <c r="A71" s="72"/>
    </row>
    <row r="72" spans="1:15">
      <c r="A72" s="72"/>
    </row>
    <row r="73" spans="1:15">
      <c r="A73" s="72"/>
    </row>
    <row r="75" spans="1:15">
      <c r="A75" s="72"/>
    </row>
    <row r="76" spans="1:15">
      <c r="A76" s="72"/>
    </row>
    <row r="108" spans="2:20">
      <c r="S108" s="45" t="s">
        <v>128</v>
      </c>
      <c r="T108" s="3" t="str">
        <f>+A6</f>
        <v>Paid DCC</v>
      </c>
    </row>
    <row r="109" spans="2:20">
      <c r="S109" s="207">
        <f>+EvalDate</f>
        <v>42735</v>
      </c>
      <c r="T109" s="3" t="s">
        <v>137</v>
      </c>
    </row>
    <row r="110" spans="2:20">
      <c r="B110" s="246">
        <v>12</v>
      </c>
      <c r="C110" s="246">
        <f>+B110+12</f>
        <v>24</v>
      </c>
      <c r="D110" s="246">
        <f>+C110+12</f>
        <v>36</v>
      </c>
      <c r="E110" s="246">
        <f t="shared" ref="E110:P110" si="8">+D110+12</f>
        <v>48</v>
      </c>
      <c r="F110" s="246">
        <f t="shared" si="8"/>
        <v>60</v>
      </c>
      <c r="G110" s="246">
        <f t="shared" si="8"/>
        <v>72</v>
      </c>
      <c r="H110" s="246">
        <f t="shared" si="8"/>
        <v>84</v>
      </c>
      <c r="I110" s="246">
        <f t="shared" si="8"/>
        <v>96</v>
      </c>
      <c r="J110" s="246">
        <f t="shared" si="8"/>
        <v>108</v>
      </c>
      <c r="K110" s="246">
        <f t="shared" si="8"/>
        <v>120</v>
      </c>
      <c r="L110" s="246">
        <f t="shared" si="8"/>
        <v>132</v>
      </c>
      <c r="M110" s="246">
        <f t="shared" si="8"/>
        <v>144</v>
      </c>
      <c r="N110" s="246">
        <f t="shared" si="8"/>
        <v>156</v>
      </c>
      <c r="O110" s="246">
        <f t="shared" si="8"/>
        <v>168</v>
      </c>
      <c r="P110" s="246">
        <f t="shared" si="8"/>
        <v>180</v>
      </c>
      <c r="Q110" s="246"/>
      <c r="R110" s="247"/>
      <c r="T110" s="247"/>
    </row>
    <row r="111" spans="2:20">
      <c r="B111" s="248">
        <f>+B62</f>
        <v>36.860238669053679</v>
      </c>
      <c r="C111" s="248">
        <f>+C62</f>
        <v>10.343506025913129</v>
      </c>
      <c r="D111" s="248">
        <f t="shared" ref="D111:P111" si="9">+D62</f>
        <v>2.9514371431756978</v>
      </c>
      <c r="E111" s="248">
        <f t="shared" si="9"/>
        <v>1.4446080935761743</v>
      </c>
      <c r="F111" s="248">
        <f t="shared" si="9"/>
        <v>1.1203386514587199</v>
      </c>
      <c r="G111" s="248">
        <f t="shared" si="9"/>
        <v>1.0869369883526798</v>
      </c>
      <c r="H111" s="248">
        <f t="shared" si="9"/>
        <v>1.0575549610648054</v>
      </c>
      <c r="I111" s="248">
        <f t="shared" si="9"/>
        <v>1.0426816287598617</v>
      </c>
      <c r="J111" s="248">
        <f t="shared" si="9"/>
        <v>1.0307594843931185</v>
      </c>
      <c r="K111" s="248">
        <f t="shared" si="9"/>
        <v>1.0220034724828346</v>
      </c>
      <c r="L111" s="248">
        <f t="shared" si="9"/>
        <v>1.0155487623723116</v>
      </c>
      <c r="M111" s="248">
        <f t="shared" si="9"/>
        <v>1.0083974100949231</v>
      </c>
      <c r="N111" s="248">
        <f t="shared" si="9"/>
        <v>1.0027143992898726</v>
      </c>
      <c r="O111" s="248">
        <f t="shared" si="9"/>
        <v>1</v>
      </c>
      <c r="P111" s="248">
        <f t="shared" si="9"/>
        <v>1</v>
      </c>
      <c r="Q111" s="247"/>
      <c r="R111" s="247">
        <f t="shared" ref="R111:R123" si="10">+R112+12</f>
        <v>180</v>
      </c>
      <c r="S111" s="206">
        <f>+P13</f>
        <v>719225.924</v>
      </c>
      <c r="T111" s="249">
        <f t="shared" ref="T111:T125" si="11">+HLOOKUP(R111,$B$110:$Q$111,2,FALSE)</f>
        <v>1</v>
      </c>
    </row>
    <row r="112" spans="2:20"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>
        <f t="shared" si="10"/>
        <v>168</v>
      </c>
      <c r="S112" s="206">
        <f>+O14</f>
        <v>858429.76</v>
      </c>
      <c r="T112" s="249">
        <f t="shared" si="11"/>
        <v>1</v>
      </c>
    </row>
    <row r="113" spans="2:20"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>
        <f t="shared" si="10"/>
        <v>156</v>
      </c>
      <c r="S113" s="206">
        <f>+N15</f>
        <v>870449.40640000009</v>
      </c>
      <c r="T113" s="249">
        <f t="shared" si="11"/>
        <v>1.0027143992898726</v>
      </c>
    </row>
    <row r="114" spans="2:20"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>
        <f t="shared" si="10"/>
        <v>144</v>
      </c>
      <c r="S114" s="206">
        <f>+M16</f>
        <v>996751.77280000004</v>
      </c>
      <c r="T114" s="249">
        <f t="shared" si="11"/>
        <v>1.0083974100949231</v>
      </c>
    </row>
    <row r="115" spans="2:20"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>
        <f t="shared" si="10"/>
        <v>132</v>
      </c>
      <c r="S115" s="206">
        <f>+L17</f>
        <v>959816.16480000014</v>
      </c>
      <c r="T115" s="249">
        <f t="shared" si="11"/>
        <v>1.0155487623723116</v>
      </c>
    </row>
    <row r="116" spans="2:20"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>
        <f t="shared" si="10"/>
        <v>120</v>
      </c>
      <c r="S116" s="206">
        <f>+K18</f>
        <v>1216164.3153659999</v>
      </c>
      <c r="T116" s="249">
        <f t="shared" si="11"/>
        <v>1.0220034724828346</v>
      </c>
    </row>
    <row r="117" spans="2:20"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>
        <f t="shared" si="10"/>
        <v>108</v>
      </c>
      <c r="S117" s="206">
        <f>+J19</f>
        <v>1290836.1432528</v>
      </c>
      <c r="T117" s="249">
        <f t="shared" si="11"/>
        <v>1.0307594843931185</v>
      </c>
    </row>
    <row r="118" spans="2:20"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>
        <f t="shared" si="10"/>
        <v>96</v>
      </c>
      <c r="S118" s="206">
        <f>+I20</f>
        <v>1126514.1681000001</v>
      </c>
      <c r="T118" s="249">
        <f t="shared" si="11"/>
        <v>1.0426816287598617</v>
      </c>
    </row>
    <row r="119" spans="2:20"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>
        <f t="shared" si="10"/>
        <v>84</v>
      </c>
      <c r="S119" s="206">
        <f>+H21</f>
        <v>1054094.2344</v>
      </c>
      <c r="T119" s="249">
        <f t="shared" si="11"/>
        <v>1.0575549610648054</v>
      </c>
    </row>
    <row r="120" spans="2:20"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>
        <f t="shared" si="10"/>
        <v>72</v>
      </c>
      <c r="S120" s="206">
        <f>+G22</f>
        <v>1105067.26596</v>
      </c>
      <c r="T120" s="249">
        <f t="shared" si="11"/>
        <v>1.0869369883526798</v>
      </c>
    </row>
    <row r="121" spans="2:20"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>
        <f t="shared" si="10"/>
        <v>60</v>
      </c>
      <c r="S121" s="206">
        <f>+F23</f>
        <v>1044548.2749239999</v>
      </c>
      <c r="T121" s="249">
        <f t="shared" si="11"/>
        <v>1.1203386514587199</v>
      </c>
    </row>
    <row r="122" spans="2:20"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>
        <f t="shared" si="10"/>
        <v>48</v>
      </c>
      <c r="S122" s="206">
        <f>+E24</f>
        <v>735634.60624333331</v>
      </c>
      <c r="T122" s="249">
        <f t="shared" si="11"/>
        <v>1.4446080935761743</v>
      </c>
    </row>
    <row r="123" spans="2:20"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>
        <f t="shared" si="10"/>
        <v>36</v>
      </c>
      <c r="S123" s="206">
        <f>+D25</f>
        <v>554805.76684852201</v>
      </c>
      <c r="T123" s="249">
        <f t="shared" si="11"/>
        <v>2.9514371431756978</v>
      </c>
    </row>
    <row r="124" spans="2:20"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>
        <f>+R125+12</f>
        <v>24</v>
      </c>
      <c r="S124" s="206">
        <f>+C26</f>
        <v>116870.20512984773</v>
      </c>
      <c r="T124" s="249">
        <f t="shared" si="11"/>
        <v>10.343506025913129</v>
      </c>
    </row>
    <row r="125" spans="2:20"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  <c r="R125" s="247">
        <v>12</v>
      </c>
      <c r="S125" s="206">
        <f>+B27</f>
        <v>45499.605052101098</v>
      </c>
      <c r="T125" s="249">
        <f t="shared" si="11"/>
        <v>36.860238669053679</v>
      </c>
    </row>
  </sheetData>
  <pageMargins left="0.7" right="0.7" top="0.75" bottom="0.75" header="0.3" footer="0.3"/>
  <ignoredErrors>
    <ignoredError sqref="B54:O5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125"/>
  <sheetViews>
    <sheetView topLeftCell="A59" workbookViewId="0">
      <selection activeCell="H85" sqref="H85"/>
    </sheetView>
  </sheetViews>
  <sheetFormatPr defaultColWidth="10" defaultRowHeight="15"/>
  <cols>
    <col min="1" max="1" width="13.85546875" style="45" customWidth="1"/>
    <col min="2" max="16" width="11.28515625" style="37" customWidth="1"/>
    <col min="17" max="18" width="10" style="37"/>
    <col min="19" max="19" width="10.140625" style="37" bestFit="1" customWidth="1"/>
    <col min="20" max="20" width="11" style="37" customWidth="1"/>
    <col min="21" max="16384" width="10" style="37"/>
  </cols>
  <sheetData>
    <row r="1" spans="1:17" ht="15.75">
      <c r="A1" s="203" t="s">
        <v>0</v>
      </c>
    </row>
    <row r="2" spans="1:17" ht="15.75">
      <c r="A2" s="204" t="str">
        <f>+"Analysis of Loss &amp; DCC Reserves as of "&amp;TEXT(EvalDate,"mm/dd/yyy")</f>
        <v>Analysis of Loss &amp; DCC Reserves as of 12/31/2016</v>
      </c>
    </row>
    <row r="3" spans="1:17" ht="15.75">
      <c r="A3" s="205" t="str">
        <f>+LOB</f>
        <v>Liability</v>
      </c>
    </row>
    <row r="4" spans="1:17">
      <c r="A4" s="38"/>
      <c r="E4" s="39"/>
    </row>
    <row r="6" spans="1:17">
      <c r="A6" s="38" t="s">
        <v>43</v>
      </c>
    </row>
    <row r="8" spans="1:17">
      <c r="A8" s="38"/>
    </row>
    <row r="9" spans="1:17">
      <c r="A9" s="38"/>
    </row>
    <row r="10" spans="1:17">
      <c r="A10" s="40" t="str">
        <f>'[1]Exercise 6 - Paid-Ldfs'!$A$10</f>
        <v>Accident</v>
      </c>
      <c r="B10" s="41" t="s">
        <v>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</row>
    <row r="11" spans="1:17" s="45" customFormat="1">
      <c r="A11" s="43" t="s">
        <v>5</v>
      </c>
      <c r="B11" s="44">
        <f>+FirstMonth</f>
        <v>12</v>
      </c>
      <c r="C11" s="44">
        <f t="shared" ref="C11:P11" si="0">B11+12</f>
        <v>24</v>
      </c>
      <c r="D11" s="44">
        <f t="shared" si="0"/>
        <v>36</v>
      </c>
      <c r="E11" s="44">
        <f t="shared" si="0"/>
        <v>48</v>
      </c>
      <c r="F11" s="44">
        <f t="shared" si="0"/>
        <v>60</v>
      </c>
      <c r="G11" s="44">
        <f t="shared" si="0"/>
        <v>72</v>
      </c>
      <c r="H11" s="44">
        <f t="shared" si="0"/>
        <v>84</v>
      </c>
      <c r="I11" s="44">
        <f t="shared" si="0"/>
        <v>96</v>
      </c>
      <c r="J11" s="44">
        <f t="shared" si="0"/>
        <v>108</v>
      </c>
      <c r="K11" s="44">
        <f t="shared" si="0"/>
        <v>120</v>
      </c>
      <c r="L11" s="44">
        <f t="shared" si="0"/>
        <v>132</v>
      </c>
      <c r="M11" s="44">
        <f t="shared" si="0"/>
        <v>144</v>
      </c>
      <c r="N11" s="44">
        <f t="shared" si="0"/>
        <v>156</v>
      </c>
      <c r="O11" s="44">
        <f t="shared" si="0"/>
        <v>168</v>
      </c>
      <c r="P11" s="44">
        <f t="shared" si="0"/>
        <v>180</v>
      </c>
    </row>
    <row r="12" spans="1:17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</row>
    <row r="13" spans="1:17">
      <c r="A13" s="49">
        <f t="shared" ref="A13:A25" si="1">+A14-1</f>
        <v>2002</v>
      </c>
      <c r="B13" s="50">
        <v>394.5</v>
      </c>
      <c r="C13" s="50">
        <v>496</v>
      </c>
      <c r="D13" s="50">
        <v>512.5</v>
      </c>
      <c r="E13" s="50">
        <v>515.5</v>
      </c>
      <c r="F13" s="50">
        <v>519</v>
      </c>
      <c r="G13" s="50">
        <v>519.5</v>
      </c>
      <c r="H13" s="50">
        <v>519.5</v>
      </c>
      <c r="I13" s="50">
        <v>520</v>
      </c>
      <c r="J13" s="50">
        <v>521</v>
      </c>
      <c r="K13" s="50">
        <v>522</v>
      </c>
      <c r="L13" s="50">
        <v>522</v>
      </c>
      <c r="M13" s="50">
        <v>522</v>
      </c>
      <c r="N13" s="50">
        <v>522</v>
      </c>
      <c r="O13" s="50">
        <v>522</v>
      </c>
      <c r="P13" s="50">
        <v>522</v>
      </c>
      <c r="Q13" s="48"/>
    </row>
    <row r="14" spans="1:17">
      <c r="A14" s="49">
        <f t="shared" si="1"/>
        <v>2003</v>
      </c>
      <c r="B14" s="50">
        <v>414</v>
      </c>
      <c r="C14" s="50">
        <v>490</v>
      </c>
      <c r="D14" s="50">
        <v>509</v>
      </c>
      <c r="E14" s="50">
        <v>519</v>
      </c>
      <c r="F14" s="50">
        <v>525</v>
      </c>
      <c r="G14" s="50">
        <v>525</v>
      </c>
      <c r="H14" s="50">
        <v>525</v>
      </c>
      <c r="I14" s="50">
        <v>526</v>
      </c>
      <c r="J14" s="50">
        <v>526</v>
      </c>
      <c r="K14" s="50">
        <v>526</v>
      </c>
      <c r="L14" s="50">
        <v>527</v>
      </c>
      <c r="M14" s="50">
        <v>527</v>
      </c>
      <c r="N14" s="50">
        <v>528</v>
      </c>
      <c r="O14" s="50">
        <v>528</v>
      </c>
      <c r="P14" s="50" t="s">
        <v>7</v>
      </c>
      <c r="Q14" s="48"/>
    </row>
    <row r="15" spans="1:17">
      <c r="A15" s="49">
        <f t="shared" si="1"/>
        <v>2004</v>
      </c>
      <c r="B15" s="50">
        <v>386</v>
      </c>
      <c r="C15" s="50">
        <v>482</v>
      </c>
      <c r="D15" s="50">
        <v>506</v>
      </c>
      <c r="E15" s="50">
        <v>510</v>
      </c>
      <c r="F15" s="50">
        <v>512</v>
      </c>
      <c r="G15" s="50">
        <v>513</v>
      </c>
      <c r="H15" s="50">
        <v>513</v>
      </c>
      <c r="I15" s="50">
        <v>513</v>
      </c>
      <c r="J15" s="50">
        <v>513</v>
      </c>
      <c r="K15" s="50">
        <v>514</v>
      </c>
      <c r="L15" s="50">
        <v>514</v>
      </c>
      <c r="M15" s="50">
        <v>514</v>
      </c>
      <c r="N15" s="50">
        <v>514</v>
      </c>
      <c r="O15" s="50" t="s">
        <v>7</v>
      </c>
      <c r="P15" s="50" t="s">
        <v>7</v>
      </c>
      <c r="Q15" s="48"/>
    </row>
    <row r="16" spans="1:17">
      <c r="A16" s="49">
        <f t="shared" si="1"/>
        <v>2005</v>
      </c>
      <c r="B16" s="50">
        <v>403</v>
      </c>
      <c r="C16" s="50">
        <v>510</v>
      </c>
      <c r="D16" s="50">
        <v>519</v>
      </c>
      <c r="E16" s="50">
        <v>521</v>
      </c>
      <c r="F16" s="50">
        <v>526</v>
      </c>
      <c r="G16" s="50">
        <v>526</v>
      </c>
      <c r="H16" s="50">
        <v>526</v>
      </c>
      <c r="I16" s="50">
        <v>527</v>
      </c>
      <c r="J16" s="50">
        <v>529</v>
      </c>
      <c r="K16" s="50">
        <v>530</v>
      </c>
      <c r="L16" s="50">
        <v>530</v>
      </c>
      <c r="M16" s="50">
        <v>530</v>
      </c>
      <c r="N16" s="50" t="s">
        <v>7</v>
      </c>
      <c r="O16" s="50" t="s">
        <v>7</v>
      </c>
      <c r="P16" s="50" t="s">
        <v>7</v>
      </c>
      <c r="Q16" s="48"/>
    </row>
    <row r="17" spans="1:17">
      <c r="A17" s="49">
        <f t="shared" si="1"/>
        <v>2006</v>
      </c>
      <c r="B17" s="50">
        <v>474</v>
      </c>
      <c r="C17" s="50">
        <v>535</v>
      </c>
      <c r="D17" s="50">
        <v>553</v>
      </c>
      <c r="E17" s="50">
        <v>557</v>
      </c>
      <c r="F17" s="50">
        <v>560</v>
      </c>
      <c r="G17" s="50">
        <v>560</v>
      </c>
      <c r="H17" s="50">
        <v>560</v>
      </c>
      <c r="I17" s="50">
        <v>561</v>
      </c>
      <c r="J17" s="50">
        <v>562</v>
      </c>
      <c r="K17" s="50">
        <v>562</v>
      </c>
      <c r="L17" s="50">
        <v>562</v>
      </c>
      <c r="M17" s="50" t="s">
        <v>7</v>
      </c>
      <c r="N17" s="50" t="s">
        <v>7</v>
      </c>
      <c r="O17" s="50" t="s">
        <v>7</v>
      </c>
      <c r="P17" s="50" t="s">
        <v>7</v>
      </c>
      <c r="Q17" s="48"/>
    </row>
    <row r="18" spans="1:17">
      <c r="A18" s="49">
        <f t="shared" si="1"/>
        <v>2007</v>
      </c>
      <c r="B18" s="50">
        <v>341</v>
      </c>
      <c r="C18" s="50">
        <v>408</v>
      </c>
      <c r="D18" s="50">
        <v>422</v>
      </c>
      <c r="E18" s="50">
        <v>428</v>
      </c>
      <c r="F18" s="50">
        <v>433</v>
      </c>
      <c r="G18" s="50">
        <v>433</v>
      </c>
      <c r="H18" s="50">
        <v>434</v>
      </c>
      <c r="I18" s="50">
        <v>434</v>
      </c>
      <c r="J18" s="50">
        <v>434</v>
      </c>
      <c r="K18" s="50">
        <v>434</v>
      </c>
      <c r="L18" s="50" t="s">
        <v>7</v>
      </c>
      <c r="M18" s="50" t="s">
        <v>7</v>
      </c>
      <c r="N18" s="50" t="s">
        <v>7</v>
      </c>
      <c r="O18" s="50" t="s">
        <v>7</v>
      </c>
      <c r="P18" s="50" t="s">
        <v>7</v>
      </c>
    </row>
    <row r="19" spans="1:17">
      <c r="A19" s="49">
        <f t="shared" si="1"/>
        <v>2008</v>
      </c>
      <c r="B19" s="50">
        <v>368</v>
      </c>
      <c r="C19" s="50">
        <v>442</v>
      </c>
      <c r="D19" s="50">
        <v>462</v>
      </c>
      <c r="E19" s="50">
        <v>466</v>
      </c>
      <c r="F19" s="50">
        <v>470</v>
      </c>
      <c r="G19" s="50">
        <v>471</v>
      </c>
      <c r="H19" s="50">
        <v>472</v>
      </c>
      <c r="I19" s="50">
        <v>473</v>
      </c>
      <c r="J19" s="50">
        <v>473</v>
      </c>
      <c r="K19" s="50" t="s">
        <v>7</v>
      </c>
      <c r="L19" s="50" t="s">
        <v>7</v>
      </c>
      <c r="M19" s="50" t="s">
        <v>7</v>
      </c>
      <c r="N19" s="50" t="s">
        <v>7</v>
      </c>
      <c r="O19" s="50" t="s">
        <v>7</v>
      </c>
      <c r="P19" s="50" t="s">
        <v>7</v>
      </c>
    </row>
    <row r="20" spans="1:17">
      <c r="A20" s="49">
        <f t="shared" si="1"/>
        <v>2009</v>
      </c>
      <c r="B20" s="50">
        <v>391</v>
      </c>
      <c r="C20" s="50">
        <v>464</v>
      </c>
      <c r="D20" s="50">
        <v>481</v>
      </c>
      <c r="E20" s="50">
        <v>494</v>
      </c>
      <c r="F20" s="50">
        <v>498</v>
      </c>
      <c r="G20" s="50">
        <v>500</v>
      </c>
      <c r="H20" s="50">
        <v>500</v>
      </c>
      <c r="I20" s="50">
        <v>501</v>
      </c>
      <c r="J20" s="50" t="s">
        <v>7</v>
      </c>
      <c r="K20" s="50" t="s">
        <v>7</v>
      </c>
      <c r="L20" s="50" t="s">
        <v>7</v>
      </c>
      <c r="M20" s="50" t="s">
        <v>7</v>
      </c>
      <c r="N20" s="50" t="s">
        <v>7</v>
      </c>
      <c r="O20" s="50" t="s">
        <v>7</v>
      </c>
      <c r="P20" s="50" t="s">
        <v>7</v>
      </c>
    </row>
    <row r="21" spans="1:17">
      <c r="A21" s="49">
        <f t="shared" si="1"/>
        <v>2010</v>
      </c>
      <c r="B21" s="50">
        <v>398</v>
      </c>
      <c r="C21" s="50">
        <v>485</v>
      </c>
      <c r="D21" s="50">
        <v>496</v>
      </c>
      <c r="E21" s="50">
        <v>503</v>
      </c>
      <c r="F21" s="50">
        <v>505</v>
      </c>
      <c r="G21" s="50">
        <v>506</v>
      </c>
      <c r="H21" s="50">
        <v>507</v>
      </c>
      <c r="I21" s="50" t="s">
        <v>7</v>
      </c>
      <c r="J21" s="50" t="s">
        <v>7</v>
      </c>
      <c r="K21" s="50" t="s">
        <v>7</v>
      </c>
      <c r="L21" s="50" t="s">
        <v>7</v>
      </c>
      <c r="M21" s="50" t="s">
        <v>7</v>
      </c>
      <c r="N21" s="50" t="s">
        <v>7</v>
      </c>
      <c r="O21" s="50" t="s">
        <v>7</v>
      </c>
      <c r="P21" s="50" t="s">
        <v>7</v>
      </c>
    </row>
    <row r="22" spans="1:17">
      <c r="A22" s="49">
        <f t="shared" si="1"/>
        <v>2011</v>
      </c>
      <c r="B22" s="50">
        <v>351</v>
      </c>
      <c r="C22" s="50">
        <v>424</v>
      </c>
      <c r="D22" s="50">
        <v>442</v>
      </c>
      <c r="E22" s="50">
        <v>449</v>
      </c>
      <c r="F22" s="50">
        <v>453</v>
      </c>
      <c r="G22" s="50">
        <v>453</v>
      </c>
      <c r="H22" s="50" t="s">
        <v>7</v>
      </c>
      <c r="I22" s="50" t="s">
        <v>7</v>
      </c>
      <c r="J22" s="50" t="s">
        <v>7</v>
      </c>
      <c r="K22" s="50" t="s">
        <v>7</v>
      </c>
      <c r="L22" s="50" t="s">
        <v>7</v>
      </c>
      <c r="M22" s="50" t="s">
        <v>7</v>
      </c>
      <c r="N22" s="50" t="s">
        <v>7</v>
      </c>
      <c r="O22" s="50" t="s">
        <v>7</v>
      </c>
      <c r="P22" s="50" t="s">
        <v>7</v>
      </c>
    </row>
    <row r="23" spans="1:17">
      <c r="A23" s="49">
        <f t="shared" si="1"/>
        <v>2012</v>
      </c>
      <c r="B23" s="50">
        <v>398</v>
      </c>
      <c r="C23" s="50">
        <v>473</v>
      </c>
      <c r="D23" s="50">
        <v>488</v>
      </c>
      <c r="E23" s="50">
        <v>493</v>
      </c>
      <c r="F23" s="50">
        <v>495</v>
      </c>
      <c r="G23" s="50" t="s">
        <v>7</v>
      </c>
      <c r="H23" s="50" t="s">
        <v>7</v>
      </c>
      <c r="I23" s="50" t="s">
        <v>7</v>
      </c>
      <c r="J23" s="50" t="s">
        <v>7</v>
      </c>
      <c r="K23" s="50" t="s">
        <v>7</v>
      </c>
      <c r="L23" s="50" t="s">
        <v>7</v>
      </c>
      <c r="M23" s="50" t="s">
        <v>7</v>
      </c>
      <c r="N23" s="50" t="s">
        <v>7</v>
      </c>
      <c r="O23" s="50" t="s">
        <v>7</v>
      </c>
      <c r="P23" s="50" t="s">
        <v>7</v>
      </c>
    </row>
    <row r="24" spans="1:17">
      <c r="A24" s="49">
        <f t="shared" si="1"/>
        <v>2013</v>
      </c>
      <c r="B24" s="50">
        <v>352</v>
      </c>
      <c r="C24" s="50">
        <v>442</v>
      </c>
      <c r="D24" s="50">
        <v>461</v>
      </c>
      <c r="E24" s="50">
        <v>471</v>
      </c>
      <c r="F24" s="50" t="s">
        <v>7</v>
      </c>
      <c r="G24" s="50" t="s">
        <v>7</v>
      </c>
      <c r="H24" s="50" t="s">
        <v>7</v>
      </c>
      <c r="I24" s="50" t="s">
        <v>7</v>
      </c>
      <c r="J24" s="50" t="s">
        <v>7</v>
      </c>
      <c r="K24" s="50" t="s">
        <v>7</v>
      </c>
      <c r="L24" s="50" t="s">
        <v>7</v>
      </c>
      <c r="M24" s="50" t="s">
        <v>7</v>
      </c>
      <c r="N24" s="50" t="s">
        <v>7</v>
      </c>
      <c r="O24" s="50" t="s">
        <v>7</v>
      </c>
      <c r="P24" s="50" t="s">
        <v>7</v>
      </c>
    </row>
    <row r="25" spans="1:17">
      <c r="A25" s="49">
        <f t="shared" si="1"/>
        <v>2014</v>
      </c>
      <c r="B25" s="50">
        <v>362</v>
      </c>
      <c r="C25" s="50">
        <v>435</v>
      </c>
      <c r="D25" s="50">
        <v>447</v>
      </c>
      <c r="E25" s="50" t="s">
        <v>7</v>
      </c>
      <c r="F25" s="50" t="s">
        <v>7</v>
      </c>
      <c r="G25" s="50" t="s">
        <v>7</v>
      </c>
      <c r="H25" s="50" t="s">
        <v>7</v>
      </c>
      <c r="I25" s="50" t="s">
        <v>7</v>
      </c>
      <c r="J25" s="50" t="s">
        <v>7</v>
      </c>
      <c r="K25" s="50" t="s">
        <v>7</v>
      </c>
      <c r="L25" s="50" t="s">
        <v>7</v>
      </c>
      <c r="M25" s="50" t="s">
        <v>7</v>
      </c>
      <c r="N25" s="50" t="s">
        <v>7</v>
      </c>
      <c r="O25" s="50" t="s">
        <v>7</v>
      </c>
      <c r="P25" s="50" t="s">
        <v>7</v>
      </c>
    </row>
    <row r="26" spans="1:17">
      <c r="A26" s="49">
        <f>+A27-1</f>
        <v>2015</v>
      </c>
      <c r="B26" s="50">
        <v>325</v>
      </c>
      <c r="C26" s="50">
        <v>388</v>
      </c>
      <c r="D26" s="50" t="s">
        <v>7</v>
      </c>
      <c r="E26" s="50" t="s">
        <v>7</v>
      </c>
      <c r="F26" s="50" t="s">
        <v>7</v>
      </c>
      <c r="G26" s="50" t="s">
        <v>7</v>
      </c>
      <c r="H26" s="50" t="s">
        <v>7</v>
      </c>
      <c r="I26" s="50" t="s">
        <v>7</v>
      </c>
      <c r="J26" s="50" t="s">
        <v>7</v>
      </c>
      <c r="K26" s="50" t="s">
        <v>7</v>
      </c>
      <c r="L26" s="50" t="s">
        <v>7</v>
      </c>
      <c r="M26" s="50" t="s">
        <v>7</v>
      </c>
      <c r="N26" s="50" t="s">
        <v>7</v>
      </c>
      <c r="O26" s="50" t="s">
        <v>7</v>
      </c>
      <c r="P26" s="50" t="s">
        <v>7</v>
      </c>
    </row>
    <row r="27" spans="1:17">
      <c r="A27" s="51">
        <f>+EndYear</f>
        <v>2016</v>
      </c>
      <c r="B27" s="50">
        <v>305</v>
      </c>
      <c r="C27" s="50" t="s">
        <v>7</v>
      </c>
      <c r="D27" s="50" t="s">
        <v>7</v>
      </c>
      <c r="E27" s="50" t="s">
        <v>7</v>
      </c>
      <c r="F27" s="50" t="s">
        <v>7</v>
      </c>
      <c r="G27" s="50" t="s">
        <v>7</v>
      </c>
      <c r="H27" s="50" t="s">
        <v>7</v>
      </c>
      <c r="I27" s="50" t="s">
        <v>7</v>
      </c>
      <c r="J27" s="50" t="s">
        <v>7</v>
      </c>
      <c r="K27" s="50" t="s">
        <v>7</v>
      </c>
      <c r="L27" s="50" t="s">
        <v>7</v>
      </c>
      <c r="M27" s="50" t="s">
        <v>7</v>
      </c>
      <c r="N27" s="50" t="s">
        <v>7</v>
      </c>
      <c r="O27" s="50" t="s">
        <v>7</v>
      </c>
      <c r="P27" s="50" t="s">
        <v>7</v>
      </c>
    </row>
    <row r="28" spans="1:17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30" spans="1:17">
      <c r="A30" s="40" t="str">
        <f>'[1]Exercise 6 - Paid-Ldfs'!$A$10</f>
        <v>Accident</v>
      </c>
      <c r="B30" s="41" t="s">
        <v>8</v>
      </c>
      <c r="C30" s="41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5"/>
    </row>
    <row r="31" spans="1:17">
      <c r="A31" s="43" t="s">
        <v>5</v>
      </c>
      <c r="B31" s="56" t="s">
        <v>9</v>
      </c>
      <c r="C31" s="56" t="s">
        <v>10</v>
      </c>
      <c r="D31" s="56" t="s">
        <v>11</v>
      </c>
      <c r="E31" s="56" t="s">
        <v>12</v>
      </c>
      <c r="F31" s="56" t="s">
        <v>13</v>
      </c>
      <c r="G31" s="56" t="s">
        <v>14</v>
      </c>
      <c r="H31" s="56" t="s">
        <v>15</v>
      </c>
      <c r="I31" s="56" t="s">
        <v>16</v>
      </c>
      <c r="J31" s="56" t="s">
        <v>17</v>
      </c>
      <c r="K31" s="56" t="s">
        <v>18</v>
      </c>
      <c r="L31" s="56" t="s">
        <v>19</v>
      </c>
      <c r="M31" s="56" t="s">
        <v>20</v>
      </c>
      <c r="N31" s="56" t="s">
        <v>21</v>
      </c>
      <c r="O31" s="56" t="s">
        <v>22</v>
      </c>
      <c r="P31" s="56" t="s">
        <v>23</v>
      </c>
    </row>
    <row r="32" spans="1:17">
      <c r="A32" s="49"/>
    </row>
    <row r="33" spans="1:16">
      <c r="A33" s="49">
        <f t="shared" ref="A33:A45" si="2">+A14</f>
        <v>2003</v>
      </c>
      <c r="B33" s="53">
        <f>ROUND(C13/B13,3)</f>
        <v>1.2569999999999999</v>
      </c>
      <c r="C33" s="53">
        <f t="shared" ref="C33:N45" si="3">ROUND(D13/C13,3)</f>
        <v>1.0329999999999999</v>
      </c>
      <c r="D33" s="53">
        <f t="shared" si="3"/>
        <v>1.006</v>
      </c>
      <c r="E33" s="53">
        <f t="shared" si="3"/>
        <v>1.0069999999999999</v>
      </c>
      <c r="F33" s="53">
        <f t="shared" si="3"/>
        <v>1.0009999999999999</v>
      </c>
      <c r="G33" s="53">
        <f t="shared" si="3"/>
        <v>1</v>
      </c>
      <c r="H33" s="53">
        <f t="shared" si="3"/>
        <v>1.0009999999999999</v>
      </c>
      <c r="I33" s="53">
        <f t="shared" si="3"/>
        <v>1.002</v>
      </c>
      <c r="J33" s="53">
        <f t="shared" si="3"/>
        <v>1.002</v>
      </c>
      <c r="K33" s="53">
        <f t="shared" si="3"/>
        <v>1</v>
      </c>
      <c r="L33" s="53">
        <f t="shared" si="3"/>
        <v>1</v>
      </c>
      <c r="M33" s="53">
        <f t="shared" si="3"/>
        <v>1</v>
      </c>
      <c r="N33" s="53">
        <f t="shared" si="3"/>
        <v>1</v>
      </c>
      <c r="O33" s="53">
        <f>ROUND(P13/O13,3)</f>
        <v>1</v>
      </c>
    </row>
    <row r="34" spans="1:16">
      <c r="A34" s="49">
        <f t="shared" si="2"/>
        <v>2004</v>
      </c>
      <c r="B34" s="53">
        <f t="shared" ref="B34:B46" si="4">ROUND(C14/B14,3)</f>
        <v>1.1839999999999999</v>
      </c>
      <c r="C34" s="53">
        <f t="shared" si="3"/>
        <v>1.0389999999999999</v>
      </c>
      <c r="D34" s="53">
        <f t="shared" si="3"/>
        <v>1.02</v>
      </c>
      <c r="E34" s="53">
        <f t="shared" si="3"/>
        <v>1.012</v>
      </c>
      <c r="F34" s="53">
        <f t="shared" si="3"/>
        <v>1</v>
      </c>
      <c r="G34" s="53">
        <f t="shared" si="3"/>
        <v>1</v>
      </c>
      <c r="H34" s="53">
        <f t="shared" si="3"/>
        <v>1.002</v>
      </c>
      <c r="I34" s="53">
        <f t="shared" si="3"/>
        <v>1</v>
      </c>
      <c r="J34" s="53">
        <f t="shared" si="3"/>
        <v>1</v>
      </c>
      <c r="K34" s="53">
        <f t="shared" si="3"/>
        <v>1.002</v>
      </c>
      <c r="L34" s="53">
        <f t="shared" si="3"/>
        <v>1</v>
      </c>
      <c r="M34" s="53">
        <f t="shared" si="3"/>
        <v>1.002</v>
      </c>
      <c r="N34" s="53">
        <f t="shared" si="3"/>
        <v>1</v>
      </c>
    </row>
    <row r="35" spans="1:16">
      <c r="A35" s="49">
        <f t="shared" si="2"/>
        <v>2005</v>
      </c>
      <c r="B35" s="53">
        <f t="shared" si="4"/>
        <v>1.2490000000000001</v>
      </c>
      <c r="C35" s="53">
        <f t="shared" si="3"/>
        <v>1.05</v>
      </c>
      <c r="D35" s="53">
        <f t="shared" si="3"/>
        <v>1.008</v>
      </c>
      <c r="E35" s="53">
        <f t="shared" si="3"/>
        <v>1.004</v>
      </c>
      <c r="F35" s="53">
        <f t="shared" si="3"/>
        <v>1.002</v>
      </c>
      <c r="G35" s="53">
        <f t="shared" si="3"/>
        <v>1</v>
      </c>
      <c r="H35" s="53">
        <f t="shared" si="3"/>
        <v>1</v>
      </c>
      <c r="I35" s="53">
        <f t="shared" si="3"/>
        <v>1</v>
      </c>
      <c r="J35" s="53">
        <f t="shared" si="3"/>
        <v>1.002</v>
      </c>
      <c r="K35" s="53">
        <f t="shared" si="3"/>
        <v>1</v>
      </c>
      <c r="L35" s="53">
        <f t="shared" si="3"/>
        <v>1</v>
      </c>
      <c r="M35" s="53">
        <f t="shared" si="3"/>
        <v>1</v>
      </c>
    </row>
    <row r="36" spans="1:16">
      <c r="A36" s="49">
        <f t="shared" si="2"/>
        <v>2006</v>
      </c>
      <c r="B36" s="53">
        <f t="shared" si="4"/>
        <v>1.266</v>
      </c>
      <c r="C36" s="53">
        <f t="shared" si="3"/>
        <v>1.018</v>
      </c>
      <c r="D36" s="53">
        <f t="shared" si="3"/>
        <v>1.004</v>
      </c>
      <c r="E36" s="53">
        <f t="shared" si="3"/>
        <v>1.01</v>
      </c>
      <c r="F36" s="53">
        <f t="shared" si="3"/>
        <v>1</v>
      </c>
      <c r="G36" s="53">
        <f t="shared" si="3"/>
        <v>1</v>
      </c>
      <c r="H36" s="53">
        <f t="shared" si="3"/>
        <v>1.002</v>
      </c>
      <c r="I36" s="53">
        <f t="shared" si="3"/>
        <v>1.004</v>
      </c>
      <c r="J36" s="53">
        <f t="shared" si="3"/>
        <v>1.002</v>
      </c>
      <c r="K36" s="53">
        <f t="shared" si="3"/>
        <v>1</v>
      </c>
      <c r="L36" s="53">
        <f t="shared" si="3"/>
        <v>1</v>
      </c>
    </row>
    <row r="37" spans="1:16">
      <c r="A37" s="49">
        <f t="shared" si="2"/>
        <v>2007</v>
      </c>
      <c r="B37" s="53">
        <f t="shared" si="4"/>
        <v>1.129</v>
      </c>
      <c r="C37" s="53">
        <f t="shared" si="3"/>
        <v>1.034</v>
      </c>
      <c r="D37" s="53">
        <f t="shared" si="3"/>
        <v>1.0069999999999999</v>
      </c>
      <c r="E37" s="53">
        <f t="shared" si="3"/>
        <v>1.0049999999999999</v>
      </c>
      <c r="F37" s="53">
        <f t="shared" si="3"/>
        <v>1</v>
      </c>
      <c r="G37" s="53">
        <f t="shared" si="3"/>
        <v>1</v>
      </c>
      <c r="H37" s="53">
        <f t="shared" si="3"/>
        <v>1.002</v>
      </c>
      <c r="I37" s="53">
        <f t="shared" si="3"/>
        <v>1.002</v>
      </c>
      <c r="J37" s="53">
        <f t="shared" si="3"/>
        <v>1</v>
      </c>
      <c r="K37" s="53">
        <f t="shared" si="3"/>
        <v>1</v>
      </c>
    </row>
    <row r="38" spans="1:16">
      <c r="A38" s="49">
        <f t="shared" si="2"/>
        <v>2008</v>
      </c>
      <c r="B38" s="53">
        <f t="shared" si="4"/>
        <v>1.196</v>
      </c>
      <c r="C38" s="53">
        <f t="shared" si="3"/>
        <v>1.034</v>
      </c>
      <c r="D38" s="53">
        <f t="shared" si="3"/>
        <v>1.014</v>
      </c>
      <c r="E38" s="53">
        <f t="shared" si="3"/>
        <v>1.012</v>
      </c>
      <c r="F38" s="53">
        <f t="shared" si="3"/>
        <v>1</v>
      </c>
      <c r="G38" s="53">
        <f t="shared" si="3"/>
        <v>1.002</v>
      </c>
      <c r="H38" s="53">
        <f t="shared" si="3"/>
        <v>1</v>
      </c>
      <c r="I38" s="53">
        <f t="shared" si="3"/>
        <v>1</v>
      </c>
      <c r="J38" s="53">
        <f t="shared" si="3"/>
        <v>1</v>
      </c>
      <c r="K38" s="53"/>
      <c r="L38" s="53"/>
      <c r="M38" s="53"/>
      <c r="N38" s="53"/>
      <c r="O38" s="53"/>
      <c r="P38" s="53"/>
    </row>
    <row r="39" spans="1:16">
      <c r="A39" s="49">
        <f t="shared" si="2"/>
        <v>2009</v>
      </c>
      <c r="B39" s="53">
        <f t="shared" si="4"/>
        <v>1.2010000000000001</v>
      </c>
      <c r="C39" s="53">
        <f t="shared" si="3"/>
        <v>1.0449999999999999</v>
      </c>
      <c r="D39" s="53">
        <f t="shared" si="3"/>
        <v>1.0089999999999999</v>
      </c>
      <c r="E39" s="53">
        <f t="shared" si="3"/>
        <v>1.0089999999999999</v>
      </c>
      <c r="F39" s="53">
        <f t="shared" si="3"/>
        <v>1.002</v>
      </c>
      <c r="G39" s="53">
        <f t="shared" si="3"/>
        <v>1.002</v>
      </c>
      <c r="H39" s="53">
        <f t="shared" si="3"/>
        <v>1.002</v>
      </c>
      <c r="I39" s="53">
        <f t="shared" si="3"/>
        <v>1</v>
      </c>
      <c r="J39" s="53"/>
      <c r="K39" s="53"/>
      <c r="L39" s="53"/>
      <c r="M39" s="53"/>
      <c r="N39" s="53"/>
      <c r="O39" s="53"/>
      <c r="P39" s="53"/>
    </row>
    <row r="40" spans="1:16">
      <c r="A40" s="49">
        <f t="shared" si="2"/>
        <v>2010</v>
      </c>
      <c r="B40" s="53">
        <f t="shared" si="4"/>
        <v>1.1870000000000001</v>
      </c>
      <c r="C40" s="53">
        <f t="shared" si="3"/>
        <v>1.0369999999999999</v>
      </c>
      <c r="D40" s="53">
        <f t="shared" si="3"/>
        <v>1.0269999999999999</v>
      </c>
      <c r="E40" s="53">
        <f t="shared" si="3"/>
        <v>1.008</v>
      </c>
      <c r="F40" s="53">
        <f t="shared" si="3"/>
        <v>1.004</v>
      </c>
      <c r="G40" s="53">
        <f t="shared" si="3"/>
        <v>1</v>
      </c>
      <c r="H40" s="53">
        <f t="shared" si="3"/>
        <v>1.002</v>
      </c>
      <c r="I40" s="53"/>
      <c r="J40" s="53"/>
      <c r="K40" s="53"/>
      <c r="L40" s="53"/>
      <c r="M40" s="53"/>
      <c r="N40" s="53"/>
      <c r="O40" s="53"/>
      <c r="P40" s="53"/>
    </row>
    <row r="41" spans="1:16">
      <c r="A41" s="49">
        <f t="shared" si="2"/>
        <v>2011</v>
      </c>
      <c r="B41" s="53">
        <f t="shared" si="4"/>
        <v>1.2190000000000001</v>
      </c>
      <c r="C41" s="53">
        <f t="shared" si="3"/>
        <v>1.0229999999999999</v>
      </c>
      <c r="D41" s="53">
        <f t="shared" si="3"/>
        <v>1.014</v>
      </c>
      <c r="E41" s="53">
        <f t="shared" si="3"/>
        <v>1.004</v>
      </c>
      <c r="F41" s="53">
        <f t="shared" si="3"/>
        <v>1.002</v>
      </c>
      <c r="G41" s="53">
        <f t="shared" si="3"/>
        <v>1.002</v>
      </c>
      <c r="H41" s="53"/>
      <c r="I41" s="53"/>
      <c r="J41" s="53"/>
      <c r="K41" s="53"/>
      <c r="L41" s="53"/>
      <c r="M41" s="53"/>
      <c r="N41" s="53"/>
      <c r="O41" s="53"/>
      <c r="P41" s="53"/>
    </row>
    <row r="42" spans="1:16">
      <c r="A42" s="49">
        <f t="shared" si="2"/>
        <v>2012</v>
      </c>
      <c r="B42" s="53">
        <f t="shared" si="4"/>
        <v>1.208</v>
      </c>
      <c r="C42" s="53">
        <f t="shared" si="3"/>
        <v>1.042</v>
      </c>
      <c r="D42" s="53">
        <f t="shared" si="3"/>
        <v>1.016</v>
      </c>
      <c r="E42" s="53">
        <f t="shared" si="3"/>
        <v>1.0089999999999999</v>
      </c>
      <c r="F42" s="53">
        <f t="shared" si="3"/>
        <v>1</v>
      </c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>
      <c r="A43" s="49">
        <f t="shared" si="2"/>
        <v>2013</v>
      </c>
      <c r="B43" s="53">
        <f t="shared" si="4"/>
        <v>1.1879999999999999</v>
      </c>
      <c r="C43" s="53">
        <f t="shared" si="3"/>
        <v>1.032</v>
      </c>
      <c r="D43" s="53">
        <f t="shared" si="3"/>
        <v>1.01</v>
      </c>
      <c r="E43" s="53">
        <f t="shared" si="3"/>
        <v>1.004</v>
      </c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16">
      <c r="A44" s="49">
        <f t="shared" si="2"/>
        <v>2014</v>
      </c>
      <c r="B44" s="53">
        <f t="shared" si="4"/>
        <v>1.256</v>
      </c>
      <c r="C44" s="53">
        <f t="shared" si="3"/>
        <v>1.0429999999999999</v>
      </c>
      <c r="D44" s="53">
        <f t="shared" si="3"/>
        <v>1.022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>
      <c r="A45" s="49">
        <f t="shared" si="2"/>
        <v>2015</v>
      </c>
      <c r="B45" s="53">
        <f t="shared" si="4"/>
        <v>1.202</v>
      </c>
      <c r="C45" s="53">
        <f t="shared" si="3"/>
        <v>1.028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>
      <c r="A46" s="51">
        <f>+A27</f>
        <v>2016</v>
      </c>
      <c r="B46" s="53">
        <f t="shared" si="4"/>
        <v>1.194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</row>
    <row r="47" spans="1:16">
      <c r="B47" s="58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1:16">
      <c r="A48" s="59" t="s">
        <v>24</v>
      </c>
      <c r="B48" s="59"/>
    </row>
    <row r="49" spans="1:17">
      <c r="A49" s="59" t="s">
        <v>25</v>
      </c>
      <c r="B49" s="53">
        <f>ROUND(AVERAGE(B44:B46),3)</f>
        <v>1.2170000000000001</v>
      </c>
      <c r="C49" s="53">
        <f>ROUND(AVERAGE(C43:C45),3)</f>
        <v>1.034</v>
      </c>
      <c r="D49" s="53">
        <f>ROUND(AVERAGE(D42:D44),3)</f>
        <v>1.016</v>
      </c>
      <c r="E49" s="53">
        <f>ROUND(AVERAGE(E41:E43),3)</f>
        <v>1.006</v>
      </c>
      <c r="F49" s="53">
        <f>ROUND(AVERAGE(F40:F42),3)</f>
        <v>1.002</v>
      </c>
      <c r="G49" s="53">
        <f>ROUND(AVERAGE(G39:G41),3)</f>
        <v>1.0009999999999999</v>
      </c>
      <c r="H49" s="53">
        <f>ROUND(AVERAGE(H38:H40),3)</f>
        <v>1.0009999999999999</v>
      </c>
      <c r="I49" s="53">
        <f>ROUND(AVERAGE(I37:I39),3)</f>
        <v>1.0009999999999999</v>
      </c>
      <c r="J49" s="53">
        <f>ROUND(AVERAGE(J36:J38),3)</f>
        <v>1.0009999999999999</v>
      </c>
      <c r="K49" s="53">
        <f>ROUND(AVERAGE(K35:K37),3)</f>
        <v>1</v>
      </c>
      <c r="L49" s="53">
        <f>ROUND(AVERAGE(L34:L36),3)</f>
        <v>1</v>
      </c>
      <c r="M49" s="53">
        <f>ROUND(AVERAGE(M33:M35),3)</f>
        <v>1.0009999999999999</v>
      </c>
      <c r="N49" s="53"/>
      <c r="O49" s="53"/>
      <c r="P49" s="53"/>
    </row>
    <row r="50" spans="1:17">
      <c r="A50" s="59" t="s">
        <v>26</v>
      </c>
      <c r="B50" s="53">
        <f>ROUND(AVERAGE(B42:B46),3)</f>
        <v>1.21</v>
      </c>
      <c r="C50" s="53">
        <f>ROUND(AVERAGE(C41:C45),3)</f>
        <v>1.034</v>
      </c>
      <c r="D50" s="53">
        <f>ROUND(AVERAGE(D40:D44),3)</f>
        <v>1.018</v>
      </c>
      <c r="E50" s="53">
        <f>ROUND(AVERAGE(E39:E43),3)</f>
        <v>1.0069999999999999</v>
      </c>
      <c r="F50" s="53">
        <f>ROUND(AVERAGE(F38:F42),3)</f>
        <v>1.002</v>
      </c>
      <c r="G50" s="53">
        <f>ROUND(AVERAGE(G37:G41),3)</f>
        <v>1.0009999999999999</v>
      </c>
      <c r="H50" s="53">
        <f>ROUND(AVERAGE(H36:H40),3)</f>
        <v>1.002</v>
      </c>
      <c r="I50" s="53">
        <f>ROUND(AVERAGE(I35:I39),3)</f>
        <v>1.0009999999999999</v>
      </c>
      <c r="J50" s="53">
        <f>ROUND(AVERAGE(J34:J38),3)</f>
        <v>1.0009999999999999</v>
      </c>
      <c r="K50" s="53">
        <f>ROUND(AVERAGE(K33:K37),3)</f>
        <v>1</v>
      </c>
      <c r="L50" s="53">
        <f>ROUND(AVERAGE(L32:L36),3)</f>
        <v>1</v>
      </c>
      <c r="M50" s="53"/>
      <c r="N50" s="53"/>
      <c r="O50" s="53"/>
      <c r="P50" s="53"/>
    </row>
    <row r="51" spans="1:17">
      <c r="A51" s="59" t="s">
        <v>27</v>
      </c>
      <c r="B51" s="53">
        <f>ROUND((SUM(B42:B46)-MAX(B42:B46)-MIN(B42:B46))/3,3)</f>
        <v>1.2010000000000001</v>
      </c>
      <c r="C51" s="53">
        <f>ROUND((SUM(C41:C45)-MAX(C41:C45)-MIN(C41:C45))/3,3)</f>
        <v>1.034</v>
      </c>
      <c r="D51" s="53">
        <f>ROUND((SUM(D40:D44)-MAX(D40:D44)-MIN(D40:D44))/3,3)</f>
        <v>1.0169999999999999</v>
      </c>
      <c r="E51" s="53">
        <f>ROUND((SUM(E39:E43)-MAX(E39:E43)-MIN(E39:E43))/3,3)</f>
        <v>1.0069999999999999</v>
      </c>
      <c r="F51" s="53">
        <f>ROUND((SUM(F38:F42)-MAX(F38:F42)-MIN(F38:F42))/3,3)</f>
        <v>1.0009999999999999</v>
      </c>
      <c r="G51" s="53">
        <f>ROUND((SUM(G37:G41)-MAX(G37:G41)-MIN(G37:G41))/3,3)</f>
        <v>1.0009999999999999</v>
      </c>
      <c r="H51" s="53">
        <f>ROUND((SUM(H36:H40)-MAX(H36:H40)-MIN(H36:H40))/3,3)</f>
        <v>1.002</v>
      </c>
      <c r="I51" s="53">
        <f>ROUND((SUM(I35:I39)-MAX(I35:I39)-MIN(I35:I39))/3,3)</f>
        <v>1.0009999999999999</v>
      </c>
      <c r="J51" s="53">
        <f>ROUND((SUM(J34:J38)-MAX(J34:J38)-MIN(J34:J38))/3,3)</f>
        <v>1.0009999999999999</v>
      </c>
      <c r="K51" s="53">
        <f>ROUND((SUM(K33:K37)-MAX(K33:K37)-MIN(K33:K37))/3,3)</f>
        <v>1</v>
      </c>
      <c r="L51" s="53">
        <f>ROUND((SUM(L32:L36)-MAX(L32:L36)-MIN(L32:L36))/3,3)</f>
        <v>0.66700000000000004</v>
      </c>
      <c r="N51" s="53"/>
      <c r="O51" s="53"/>
      <c r="P51" s="53"/>
      <c r="Q51" s="58"/>
    </row>
    <row r="52" spans="1:17">
      <c r="A52" s="60" t="s">
        <v>28</v>
      </c>
      <c r="B52" s="53">
        <f>AVERAGE(B32:B47)</f>
        <v>1.2097142857142857</v>
      </c>
      <c r="C52" s="53">
        <f>AVERAGE(C31:C46)</f>
        <v>1.0352307692307692</v>
      </c>
      <c r="D52" s="53">
        <f>AVERAGE(D30:D45)</f>
        <v>1.0130833333333331</v>
      </c>
      <c r="E52" s="53">
        <f>AVERAGE(E29:E44)</f>
        <v>1.0076363636363637</v>
      </c>
      <c r="F52" s="53">
        <f>AVERAGE(F28:F43)</f>
        <v>1.0011000000000001</v>
      </c>
      <c r="G52" s="53">
        <f>AVERAGE(G27:G42)</f>
        <v>1.0006666666666666</v>
      </c>
      <c r="H52" s="53">
        <f>AVERAGE(H26:H41)</f>
        <v>1.0013749999999999</v>
      </c>
      <c r="I52" s="53">
        <f>AVERAGE(I25:I40)</f>
        <v>1.0011428571428571</v>
      </c>
      <c r="J52" s="53">
        <f>AVERAGE(J24:J39)</f>
        <v>1.0009999999999999</v>
      </c>
      <c r="K52" s="53">
        <f>AVERAGE(K23:K38)</f>
        <v>1.0004</v>
      </c>
      <c r="L52" s="53">
        <f>AVERAGE(L22:L37)</f>
        <v>1</v>
      </c>
      <c r="M52" s="53">
        <f>AVERAGE(M21:M36)</f>
        <v>1.0006666666666666</v>
      </c>
      <c r="N52" s="53">
        <f>AVERAGE(N20:N35)</f>
        <v>1</v>
      </c>
      <c r="O52" s="53">
        <f>AVERAGE(O20:O35)</f>
        <v>1</v>
      </c>
      <c r="P52" s="53"/>
      <c r="Q52" s="58"/>
    </row>
    <row r="53" spans="1:17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8"/>
    </row>
    <row r="54" spans="1:17">
      <c r="A54" s="59" t="s">
        <v>29</v>
      </c>
      <c r="B54" s="53">
        <f>ROUND(SUM(C24:C26)/SUM(B24:B26),3)</f>
        <v>1.218</v>
      </c>
      <c r="C54" s="53">
        <f>ROUND(SUM(D23:D25)/SUM(C23:C25),3)</f>
        <v>1.034</v>
      </c>
      <c r="D54" s="53">
        <f>ROUND(SUM(E22:E24)/SUM(D22:D24),3)</f>
        <v>1.016</v>
      </c>
      <c r="E54" s="53">
        <f>ROUND(SUM(F21:F23)/SUM(E21:E23),3)</f>
        <v>1.006</v>
      </c>
      <c r="F54" s="53">
        <f>ROUND(SUM(G20:G22)/SUM(F20:F22),3)</f>
        <v>1.002</v>
      </c>
      <c r="G54" s="53">
        <f>ROUND(SUM(H19:H21)/SUM(G19:G21),3)</f>
        <v>1.0009999999999999</v>
      </c>
      <c r="H54" s="53">
        <f>ROUND(SUM(I18:I20)/SUM(H18:H20),3)</f>
        <v>1.0009999999999999</v>
      </c>
      <c r="I54" s="53">
        <f>ROUND(SUM(J17:J19)/SUM(I17:I19),3)</f>
        <v>1.0009999999999999</v>
      </c>
      <c r="J54" s="53">
        <f>ROUND(SUM(K16:K18)/SUM(J16:J18),3)</f>
        <v>1.0009999999999999</v>
      </c>
      <c r="K54" s="53">
        <f>ROUND(SUM(L15:L17)/SUM(K15:K17),3)</f>
        <v>1</v>
      </c>
      <c r="L54" s="53">
        <f>ROUND(SUM(M14:M16)/SUM(L14:L16),3)</f>
        <v>1</v>
      </c>
      <c r="M54" s="53">
        <f>ROUND(SUM(N13:N15)/SUM(M13:M15),3)</f>
        <v>1.0009999999999999</v>
      </c>
      <c r="N54" s="53">
        <f>ROUND(SUM(O12:O14)/SUM(N12:N14),3)</f>
        <v>1</v>
      </c>
      <c r="O54" s="53"/>
      <c r="P54" s="53"/>
      <c r="Q54" s="58"/>
    </row>
    <row r="55" spans="1:17">
      <c r="A55" s="59" t="s">
        <v>30</v>
      </c>
      <c r="B55" s="53">
        <f>ROUND(SUM(C22:C26)/SUM(B22:B26),3)</f>
        <v>1.2090000000000001</v>
      </c>
      <c r="C55" s="53">
        <f>ROUND(SUM(D21:D25)/SUM(C21:C25),3)</f>
        <v>1.0329999999999999</v>
      </c>
      <c r="D55" s="53">
        <f>ROUND(SUM(E20:E24)/SUM(D20:D24),3)</f>
        <v>1.018</v>
      </c>
      <c r="E55" s="53">
        <f>ROUND(SUM(F19:F23)/SUM(E19:E23),3)</f>
        <v>1.0069999999999999</v>
      </c>
      <c r="F55" s="53">
        <f>ROUND(SUM(G18:G22)/SUM(F18:F22),3)</f>
        <v>1.002</v>
      </c>
      <c r="G55" s="53">
        <f>ROUND(SUM(H17:H21)/SUM(G17:G21),3)</f>
        <v>1.0009999999999999</v>
      </c>
      <c r="H55" s="53">
        <f>ROUND(SUM(I16:I20)/SUM(H16:H20),3)</f>
        <v>1.002</v>
      </c>
      <c r="I55" s="53">
        <f>ROUND(SUM(J15:J19)/SUM(I15:I19),3)</f>
        <v>1.0009999999999999</v>
      </c>
      <c r="J55" s="53">
        <f>ROUND(SUM(K14:K18)/SUM(J14:J18),3)</f>
        <v>1.0009999999999999</v>
      </c>
      <c r="K55" s="53">
        <f>ROUND(SUM(L13:L17)/SUM(K13:K17),3)</f>
        <v>1</v>
      </c>
      <c r="L55" s="53">
        <f>ROUND(SUM(M12:M16)/SUM(L12:L16),3)</f>
        <v>1</v>
      </c>
      <c r="P55" s="53"/>
      <c r="Q55" s="58"/>
    </row>
    <row r="56" spans="1:17">
      <c r="A56" s="60" t="s">
        <v>28</v>
      </c>
      <c r="B56" s="53">
        <f>SUM(C$13:C26)/SUM(B$13:B26)</f>
        <v>1.2083994400373308</v>
      </c>
      <c r="C56" s="53">
        <f>SUM(D$13:D25)/SUM(C$13:C25)</f>
        <v>1.0349162011173185</v>
      </c>
      <c r="D56" s="53">
        <f>SUM(E$13:E24)/SUM(D$13:D24)</f>
        <v>1.0128172263522173</v>
      </c>
      <c r="E56" s="53">
        <f>SUM(F$13:F23)/SUM(E$13:E23)</f>
        <v>1.0074237008523508</v>
      </c>
      <c r="F56" s="53">
        <f>SUM(G$13:G22)/SUM(F$13:F22)</f>
        <v>1.0010997800439911</v>
      </c>
      <c r="G56" s="53">
        <f>SUM(H$13:H21)/SUM(G$13:G21)</f>
        <v>1.0006588338640605</v>
      </c>
      <c r="H56" s="53">
        <f>SUM(I$13:I20)/SUM(H$13:H20)</f>
        <v>1.0013581923694284</v>
      </c>
      <c r="I56" s="53">
        <f>SUM(J$13:J19)/SUM(I$13:I19)</f>
        <v>1.0011254924029263</v>
      </c>
      <c r="J56" s="53">
        <f>SUM(K$13:K18)/SUM(J$13:J18)</f>
        <v>1.00097244732577</v>
      </c>
      <c r="K56" s="53">
        <f>SUM(L$13:L17)/SUM(K$13:K17)</f>
        <v>1.0003767897513187</v>
      </c>
      <c r="L56" s="53">
        <f>SUM(M$13:M16)/SUM(L$13:L16)</f>
        <v>1</v>
      </c>
      <c r="M56" s="53">
        <f>SUM(N$13:N15)/SUM(M$13:M15)</f>
        <v>1.0006397952655151</v>
      </c>
      <c r="N56" s="53">
        <f>SUM(O$13:O14)/SUM(N$13:N14)</f>
        <v>1</v>
      </c>
      <c r="O56" s="53">
        <f>SUM(P$13:P13)/SUM(O$13:O13)</f>
        <v>1</v>
      </c>
      <c r="P56" s="53"/>
      <c r="Q56" s="58"/>
    </row>
    <row r="57" spans="1:17"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8"/>
    </row>
    <row r="58" spans="1:17">
      <c r="A58" s="38" t="s">
        <v>31</v>
      </c>
      <c r="B58" s="61" t="s">
        <v>33</v>
      </c>
      <c r="C58" s="61" t="s">
        <v>33</v>
      </c>
      <c r="D58" s="61" t="s">
        <v>33</v>
      </c>
      <c r="E58" s="61" t="s">
        <v>33</v>
      </c>
      <c r="F58" s="61" t="s">
        <v>33</v>
      </c>
      <c r="G58" s="61" t="s">
        <v>33</v>
      </c>
      <c r="H58" s="61" t="s">
        <v>33</v>
      </c>
      <c r="I58" s="61" t="s">
        <v>33</v>
      </c>
      <c r="J58" s="61" t="s">
        <v>33</v>
      </c>
      <c r="K58" s="61" t="s">
        <v>33</v>
      </c>
      <c r="L58" s="61" t="s">
        <v>33</v>
      </c>
      <c r="M58" s="61" t="s">
        <v>33</v>
      </c>
      <c r="N58" s="61" t="s">
        <v>33</v>
      </c>
      <c r="O58" s="61" t="s">
        <v>33</v>
      </c>
      <c r="P58" s="61" t="s">
        <v>33</v>
      </c>
      <c r="Q58" s="58"/>
    </row>
    <row r="59" spans="1:17">
      <c r="A59" s="38" t="s">
        <v>32</v>
      </c>
      <c r="B59" s="61" t="s">
        <v>33</v>
      </c>
      <c r="C59" s="61" t="s">
        <v>33</v>
      </c>
      <c r="D59" s="61" t="s">
        <v>33</v>
      </c>
      <c r="E59" s="61" t="s">
        <v>33</v>
      </c>
      <c r="F59" s="61" t="s">
        <v>33</v>
      </c>
      <c r="G59" s="61" t="s">
        <v>33</v>
      </c>
      <c r="H59" s="61" t="s">
        <v>33</v>
      </c>
      <c r="I59" s="61" t="s">
        <v>33</v>
      </c>
      <c r="J59" s="61" t="s">
        <v>33</v>
      </c>
      <c r="K59" s="61" t="s">
        <v>33</v>
      </c>
      <c r="L59" s="61" t="s">
        <v>33</v>
      </c>
      <c r="M59" s="61" t="s">
        <v>33</v>
      </c>
      <c r="N59" s="61" t="s">
        <v>33</v>
      </c>
      <c r="O59" s="61" t="s">
        <v>33</v>
      </c>
      <c r="P59" s="61" t="s">
        <v>33</v>
      </c>
      <c r="Q59" s="58"/>
    </row>
    <row r="60" spans="1:17"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8"/>
    </row>
    <row r="61" spans="1:17">
      <c r="A61" s="38" t="s">
        <v>34</v>
      </c>
      <c r="B61" s="32">
        <f>+B56</f>
        <v>1.2083994400373308</v>
      </c>
      <c r="C61" s="32">
        <f t="shared" ref="C61:O61" si="5">+C56</f>
        <v>1.0349162011173185</v>
      </c>
      <c r="D61" s="32">
        <f t="shared" si="5"/>
        <v>1.0128172263522173</v>
      </c>
      <c r="E61" s="32">
        <f t="shared" si="5"/>
        <v>1.0074237008523508</v>
      </c>
      <c r="F61" s="32">
        <f t="shared" si="5"/>
        <v>1.0010997800439911</v>
      </c>
      <c r="G61" s="32">
        <f t="shared" si="5"/>
        <v>1.0006588338640605</v>
      </c>
      <c r="H61" s="32">
        <f t="shared" si="5"/>
        <v>1.0013581923694284</v>
      </c>
      <c r="I61" s="32">
        <f t="shared" si="5"/>
        <v>1.0011254924029263</v>
      </c>
      <c r="J61" s="32">
        <f t="shared" si="5"/>
        <v>1.00097244732577</v>
      </c>
      <c r="K61" s="32">
        <f t="shared" si="5"/>
        <v>1.0003767897513187</v>
      </c>
      <c r="L61" s="32">
        <f t="shared" si="5"/>
        <v>1</v>
      </c>
      <c r="M61" s="32">
        <f t="shared" si="5"/>
        <v>1.0006397952655151</v>
      </c>
      <c r="N61" s="32">
        <f t="shared" si="5"/>
        <v>1</v>
      </c>
      <c r="O61" s="32">
        <f t="shared" si="5"/>
        <v>1</v>
      </c>
      <c r="P61" s="32">
        <v>1</v>
      </c>
      <c r="Q61" s="58"/>
    </row>
    <row r="62" spans="1:17">
      <c r="A62" s="38" t="s">
        <v>35</v>
      </c>
      <c r="B62" s="53">
        <f t="shared" ref="B62:N62" si="6">B61*C62</f>
        <v>1.2839964423229653</v>
      </c>
      <c r="C62" s="53">
        <f t="shared" si="6"/>
        <v>1.0625596138006312</v>
      </c>
      <c r="D62" s="53">
        <f t="shared" si="6"/>
        <v>1.026710773928815</v>
      </c>
      <c r="E62" s="53">
        <f t="shared" si="6"/>
        <v>1.0137177243979518</v>
      </c>
      <c r="F62" s="53">
        <f t="shared" si="6"/>
        <v>1.0062476429135783</v>
      </c>
      <c r="G62" s="53">
        <f t="shared" si="6"/>
        <v>1.0051422075723171</v>
      </c>
      <c r="H62" s="53">
        <f t="shared" si="6"/>
        <v>1.0044804218546135</v>
      </c>
      <c r="I62" s="53">
        <f t="shared" si="6"/>
        <v>1.0031179946486455</v>
      </c>
      <c r="J62" s="53">
        <f t="shared" si="6"/>
        <v>1.00199026222071</v>
      </c>
      <c r="K62" s="53">
        <f t="shared" si="6"/>
        <v>1.0010168260851326</v>
      </c>
      <c r="L62" s="53">
        <f t="shared" si="6"/>
        <v>1.0006397952655151</v>
      </c>
      <c r="M62" s="53">
        <f t="shared" si="6"/>
        <v>1.0006397952655151</v>
      </c>
      <c r="N62" s="53">
        <f t="shared" si="6"/>
        <v>1</v>
      </c>
      <c r="O62" s="53">
        <f>O61*P62</f>
        <v>1</v>
      </c>
      <c r="P62" s="53">
        <f>P61</f>
        <v>1</v>
      </c>
      <c r="Q62" s="58"/>
    </row>
    <row r="63" spans="1:17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</row>
    <row r="64" spans="1:17">
      <c r="B64" s="38"/>
    </row>
    <row r="108" spans="2:20" ht="45">
      <c r="S108" s="45" t="s">
        <v>128</v>
      </c>
      <c r="T108" s="250" t="str">
        <f>+A6</f>
        <v>Reported Claim Counts</v>
      </c>
    </row>
    <row r="109" spans="2:20">
      <c r="S109" s="207">
        <f>+EvalDate</f>
        <v>42735</v>
      </c>
      <c r="T109" s="3" t="s">
        <v>137</v>
      </c>
    </row>
    <row r="110" spans="2:20">
      <c r="B110" s="246">
        <v>12</v>
      </c>
      <c r="C110" s="246">
        <f>+B110+12</f>
        <v>24</v>
      </c>
      <c r="D110" s="246">
        <f>+C110+12</f>
        <v>36</v>
      </c>
      <c r="E110" s="246">
        <f t="shared" ref="E110:P110" si="7">+D110+12</f>
        <v>48</v>
      </c>
      <c r="F110" s="246">
        <f t="shared" si="7"/>
        <v>60</v>
      </c>
      <c r="G110" s="246">
        <f t="shared" si="7"/>
        <v>72</v>
      </c>
      <c r="H110" s="246">
        <f t="shared" si="7"/>
        <v>84</v>
      </c>
      <c r="I110" s="246">
        <f t="shared" si="7"/>
        <v>96</v>
      </c>
      <c r="J110" s="246">
        <f t="shared" si="7"/>
        <v>108</v>
      </c>
      <c r="K110" s="246">
        <f t="shared" si="7"/>
        <v>120</v>
      </c>
      <c r="L110" s="246">
        <f t="shared" si="7"/>
        <v>132</v>
      </c>
      <c r="M110" s="246">
        <f t="shared" si="7"/>
        <v>144</v>
      </c>
      <c r="N110" s="246">
        <f t="shared" si="7"/>
        <v>156</v>
      </c>
      <c r="O110" s="246">
        <f t="shared" si="7"/>
        <v>168</v>
      </c>
      <c r="P110" s="246">
        <f t="shared" si="7"/>
        <v>180</v>
      </c>
      <c r="Q110" s="246"/>
      <c r="R110" s="247"/>
      <c r="T110" s="247"/>
    </row>
    <row r="111" spans="2:20">
      <c r="B111" s="248">
        <f>+B62</f>
        <v>1.2839964423229653</v>
      </c>
      <c r="C111" s="248">
        <f>+C62</f>
        <v>1.0625596138006312</v>
      </c>
      <c r="D111" s="248">
        <f t="shared" ref="D111:P111" si="8">+D62</f>
        <v>1.026710773928815</v>
      </c>
      <c r="E111" s="248">
        <f t="shared" si="8"/>
        <v>1.0137177243979518</v>
      </c>
      <c r="F111" s="248">
        <f t="shared" si="8"/>
        <v>1.0062476429135783</v>
      </c>
      <c r="G111" s="248">
        <f t="shared" si="8"/>
        <v>1.0051422075723171</v>
      </c>
      <c r="H111" s="248">
        <f t="shared" si="8"/>
        <v>1.0044804218546135</v>
      </c>
      <c r="I111" s="248">
        <f t="shared" si="8"/>
        <v>1.0031179946486455</v>
      </c>
      <c r="J111" s="248">
        <f t="shared" si="8"/>
        <v>1.00199026222071</v>
      </c>
      <c r="K111" s="248">
        <f t="shared" si="8"/>
        <v>1.0010168260851326</v>
      </c>
      <c r="L111" s="248">
        <f t="shared" si="8"/>
        <v>1.0006397952655151</v>
      </c>
      <c r="M111" s="248">
        <f t="shared" si="8"/>
        <v>1.0006397952655151</v>
      </c>
      <c r="N111" s="248">
        <f t="shared" si="8"/>
        <v>1</v>
      </c>
      <c r="O111" s="248">
        <f t="shared" si="8"/>
        <v>1</v>
      </c>
      <c r="P111" s="248">
        <f t="shared" si="8"/>
        <v>1</v>
      </c>
      <c r="Q111" s="247"/>
      <c r="R111" s="247">
        <f t="shared" ref="R111:R123" si="9">+R112+12</f>
        <v>180</v>
      </c>
      <c r="S111" s="206">
        <f>+P13</f>
        <v>522</v>
      </c>
      <c r="T111" s="249">
        <f t="shared" ref="T111:T125" si="10">+HLOOKUP(R111,$B$110:$Q$111,2,FALSE)</f>
        <v>1</v>
      </c>
    </row>
    <row r="112" spans="2:20"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>
        <f t="shared" si="9"/>
        <v>168</v>
      </c>
      <c r="S112" s="206">
        <f>+O14</f>
        <v>528</v>
      </c>
      <c r="T112" s="249">
        <f t="shared" si="10"/>
        <v>1</v>
      </c>
    </row>
    <row r="113" spans="2:20"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>
        <f t="shared" si="9"/>
        <v>156</v>
      </c>
      <c r="S113" s="206">
        <f>+N15</f>
        <v>514</v>
      </c>
      <c r="T113" s="249">
        <f t="shared" si="10"/>
        <v>1</v>
      </c>
    </row>
    <row r="114" spans="2:20"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>
        <f t="shared" si="9"/>
        <v>144</v>
      </c>
      <c r="S114" s="206">
        <f>+M16</f>
        <v>530</v>
      </c>
      <c r="T114" s="249">
        <f t="shared" si="10"/>
        <v>1.0006397952655151</v>
      </c>
    </row>
    <row r="115" spans="2:20"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>
        <f t="shared" si="9"/>
        <v>132</v>
      </c>
      <c r="S115" s="206">
        <f>+L17</f>
        <v>562</v>
      </c>
      <c r="T115" s="249">
        <f t="shared" si="10"/>
        <v>1.0006397952655151</v>
      </c>
    </row>
    <row r="116" spans="2:20"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>
        <f t="shared" si="9"/>
        <v>120</v>
      </c>
      <c r="S116" s="206">
        <f>+K18</f>
        <v>434</v>
      </c>
      <c r="T116" s="249">
        <f t="shared" si="10"/>
        <v>1.0010168260851326</v>
      </c>
    </row>
    <row r="117" spans="2:20"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>
        <f t="shared" si="9"/>
        <v>108</v>
      </c>
      <c r="S117" s="206">
        <f>+J19</f>
        <v>473</v>
      </c>
      <c r="T117" s="249">
        <f t="shared" si="10"/>
        <v>1.00199026222071</v>
      </c>
    </row>
    <row r="118" spans="2:20"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>
        <f t="shared" si="9"/>
        <v>96</v>
      </c>
      <c r="S118" s="206">
        <f>+I20</f>
        <v>501</v>
      </c>
      <c r="T118" s="249">
        <f t="shared" si="10"/>
        <v>1.0031179946486455</v>
      </c>
    </row>
    <row r="119" spans="2:20"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>
        <f t="shared" si="9"/>
        <v>84</v>
      </c>
      <c r="S119" s="206">
        <f>+H21</f>
        <v>507</v>
      </c>
      <c r="T119" s="249">
        <f t="shared" si="10"/>
        <v>1.0044804218546135</v>
      </c>
    </row>
    <row r="120" spans="2:20"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>
        <f t="shared" si="9"/>
        <v>72</v>
      </c>
      <c r="S120" s="206">
        <f>+G22</f>
        <v>453</v>
      </c>
      <c r="T120" s="249">
        <f t="shared" si="10"/>
        <v>1.0051422075723171</v>
      </c>
    </row>
    <row r="121" spans="2:20"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>
        <f t="shared" si="9"/>
        <v>60</v>
      </c>
      <c r="S121" s="206">
        <f>+F23</f>
        <v>495</v>
      </c>
      <c r="T121" s="249">
        <f t="shared" si="10"/>
        <v>1.0062476429135783</v>
      </c>
    </row>
    <row r="122" spans="2:20"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>
        <f t="shared" si="9"/>
        <v>48</v>
      </c>
      <c r="S122" s="206">
        <f>+E24</f>
        <v>471</v>
      </c>
      <c r="T122" s="249">
        <f t="shared" si="10"/>
        <v>1.0137177243979518</v>
      </c>
    </row>
    <row r="123" spans="2:20"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>
        <f t="shared" si="9"/>
        <v>36</v>
      </c>
      <c r="S123" s="206">
        <f>+D25</f>
        <v>447</v>
      </c>
      <c r="T123" s="249">
        <f t="shared" si="10"/>
        <v>1.026710773928815</v>
      </c>
    </row>
    <row r="124" spans="2:20"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>
        <f>+R125+12</f>
        <v>24</v>
      </c>
      <c r="S124" s="206">
        <f>+C26</f>
        <v>388</v>
      </c>
      <c r="T124" s="249">
        <f t="shared" si="10"/>
        <v>1.0625596138006312</v>
      </c>
    </row>
    <row r="125" spans="2:20"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  <c r="R125" s="247">
        <v>12</v>
      </c>
      <c r="S125" s="206">
        <f>+B27</f>
        <v>305</v>
      </c>
      <c r="T125" s="249">
        <f t="shared" si="10"/>
        <v>1.2839964423229653</v>
      </c>
    </row>
  </sheetData>
  <pageMargins left="0.7" right="0.7" top="0.75" bottom="0.75" header="0.3" footer="0.3"/>
  <ignoredErrors>
    <ignoredError sqref="B54:O5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125"/>
  <sheetViews>
    <sheetView topLeftCell="A57" workbookViewId="0">
      <selection activeCell="J81" sqref="J81"/>
    </sheetView>
  </sheetViews>
  <sheetFormatPr defaultColWidth="10" defaultRowHeight="15"/>
  <cols>
    <col min="1" max="1" width="23.28515625" style="45" customWidth="1"/>
    <col min="2" max="16" width="11.28515625" style="37" customWidth="1"/>
    <col min="17" max="19" width="10" style="37"/>
    <col min="20" max="20" width="11" style="37" customWidth="1"/>
    <col min="21" max="16384" width="10" style="37"/>
  </cols>
  <sheetData>
    <row r="1" spans="1:17" ht="15.75">
      <c r="A1" s="203" t="s">
        <v>0</v>
      </c>
    </row>
    <row r="2" spans="1:17" ht="15.75">
      <c r="A2" s="204" t="str">
        <f>+"Analysis of Loss &amp; DCC Reserves as of "&amp;TEXT(EvalDate,"mm/dd/yyy")</f>
        <v>Analysis of Loss &amp; DCC Reserves as of 12/31/2016</v>
      </c>
    </row>
    <row r="3" spans="1:17" ht="15.75">
      <c r="A3" s="205" t="str">
        <f>+LOB</f>
        <v>Liability</v>
      </c>
    </row>
    <row r="4" spans="1:17">
      <c r="A4" s="38"/>
      <c r="E4" s="39"/>
    </row>
    <row r="6" spans="1:17">
      <c r="A6" s="38" t="s">
        <v>44</v>
      </c>
    </row>
    <row r="8" spans="1:17">
      <c r="A8" s="38"/>
    </row>
    <row r="9" spans="1:17">
      <c r="A9" s="38"/>
    </row>
    <row r="10" spans="1:17">
      <c r="A10" s="40" t="str">
        <f>'[1]Exercise 6 - Paid-Ldfs'!$A$10</f>
        <v>Accident</v>
      </c>
      <c r="B10" s="41" t="s">
        <v>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</row>
    <row r="11" spans="1:17" s="45" customFormat="1">
      <c r="A11" s="43" t="s">
        <v>5</v>
      </c>
      <c r="B11" s="44">
        <f>+FirstMonth</f>
        <v>12</v>
      </c>
      <c r="C11" s="44">
        <f t="shared" ref="C11:P11" si="0">B11+12</f>
        <v>24</v>
      </c>
      <c r="D11" s="44">
        <f t="shared" si="0"/>
        <v>36</v>
      </c>
      <c r="E11" s="44">
        <f t="shared" si="0"/>
        <v>48</v>
      </c>
      <c r="F11" s="44">
        <f t="shared" si="0"/>
        <v>60</v>
      </c>
      <c r="G11" s="44">
        <f t="shared" si="0"/>
        <v>72</v>
      </c>
      <c r="H11" s="44">
        <f t="shared" si="0"/>
        <v>84</v>
      </c>
      <c r="I11" s="44">
        <f t="shared" si="0"/>
        <v>96</v>
      </c>
      <c r="J11" s="44">
        <f t="shared" si="0"/>
        <v>108</v>
      </c>
      <c r="K11" s="44">
        <f t="shared" si="0"/>
        <v>120</v>
      </c>
      <c r="L11" s="44">
        <f t="shared" si="0"/>
        <v>132</v>
      </c>
      <c r="M11" s="44">
        <f t="shared" si="0"/>
        <v>144</v>
      </c>
      <c r="N11" s="44">
        <f t="shared" si="0"/>
        <v>156</v>
      </c>
      <c r="O11" s="44">
        <f t="shared" si="0"/>
        <v>168</v>
      </c>
      <c r="P11" s="44">
        <f t="shared" si="0"/>
        <v>180</v>
      </c>
    </row>
    <row r="12" spans="1:17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</row>
    <row r="13" spans="1:17">
      <c r="A13" s="49">
        <f t="shared" ref="A13:A25" si="1">+A14-1</f>
        <v>2002</v>
      </c>
      <c r="B13" s="50">
        <v>296.33333333333331</v>
      </c>
      <c r="C13" s="50">
        <v>439</v>
      </c>
      <c r="D13" s="50">
        <v>474</v>
      </c>
      <c r="E13" s="50">
        <v>492.66666666666669</v>
      </c>
      <c r="F13" s="50">
        <v>507.66666666666669</v>
      </c>
      <c r="G13" s="50">
        <v>514.66666666666663</v>
      </c>
      <c r="H13" s="50">
        <v>516.66666666666663</v>
      </c>
      <c r="I13" s="50">
        <v>519.33333333333337</v>
      </c>
      <c r="J13" s="50">
        <v>519.66666666666663</v>
      </c>
      <c r="K13" s="50">
        <v>520.33333333333337</v>
      </c>
      <c r="L13" s="50">
        <v>521.66666666666663</v>
      </c>
      <c r="M13" s="50">
        <v>522</v>
      </c>
      <c r="N13" s="50">
        <v>522</v>
      </c>
      <c r="O13" s="50">
        <v>522</v>
      </c>
      <c r="P13" s="50">
        <v>522</v>
      </c>
      <c r="Q13" s="48"/>
    </row>
    <row r="14" spans="1:17">
      <c r="A14" s="49">
        <f t="shared" si="1"/>
        <v>2003</v>
      </c>
      <c r="B14" s="50">
        <v>311</v>
      </c>
      <c r="C14" s="50">
        <v>442</v>
      </c>
      <c r="D14" s="50">
        <v>480</v>
      </c>
      <c r="E14" s="50">
        <v>502</v>
      </c>
      <c r="F14" s="50">
        <v>512</v>
      </c>
      <c r="G14" s="50">
        <v>519</v>
      </c>
      <c r="H14" s="50">
        <v>520</v>
      </c>
      <c r="I14" s="50">
        <v>523</v>
      </c>
      <c r="J14" s="50">
        <v>523</v>
      </c>
      <c r="K14" s="50">
        <v>523</v>
      </c>
      <c r="L14" s="50">
        <v>524</v>
      </c>
      <c r="M14" s="50">
        <v>524</v>
      </c>
      <c r="N14" s="50">
        <v>525</v>
      </c>
      <c r="O14" s="50">
        <v>526</v>
      </c>
      <c r="P14" s="50" t="s">
        <v>7</v>
      </c>
      <c r="Q14" s="48"/>
    </row>
    <row r="15" spans="1:17">
      <c r="A15" s="49">
        <f t="shared" si="1"/>
        <v>2004</v>
      </c>
      <c r="B15" s="50">
        <v>280</v>
      </c>
      <c r="C15" s="50">
        <v>427</v>
      </c>
      <c r="D15" s="50">
        <v>465</v>
      </c>
      <c r="E15" s="50">
        <v>481</v>
      </c>
      <c r="F15" s="50">
        <v>500</v>
      </c>
      <c r="G15" s="50">
        <v>508</v>
      </c>
      <c r="H15" s="50">
        <v>510</v>
      </c>
      <c r="I15" s="50">
        <v>512</v>
      </c>
      <c r="J15" s="50">
        <v>512</v>
      </c>
      <c r="K15" s="50">
        <v>512</v>
      </c>
      <c r="L15" s="50">
        <v>512</v>
      </c>
      <c r="M15" s="50">
        <v>513</v>
      </c>
      <c r="N15" s="50">
        <v>513</v>
      </c>
      <c r="O15" s="50" t="s">
        <v>7</v>
      </c>
      <c r="P15" s="50" t="s">
        <v>7</v>
      </c>
      <c r="Q15" s="48"/>
    </row>
    <row r="16" spans="1:17">
      <c r="A16" s="49">
        <f t="shared" si="1"/>
        <v>2005</v>
      </c>
      <c r="B16" s="50">
        <v>298</v>
      </c>
      <c r="C16" s="50">
        <v>448</v>
      </c>
      <c r="D16" s="50">
        <v>477</v>
      </c>
      <c r="E16" s="50">
        <v>495</v>
      </c>
      <c r="F16" s="50">
        <v>511</v>
      </c>
      <c r="G16" s="50">
        <v>517</v>
      </c>
      <c r="H16" s="50">
        <v>520</v>
      </c>
      <c r="I16" s="50">
        <v>523</v>
      </c>
      <c r="J16" s="50">
        <v>524</v>
      </c>
      <c r="K16" s="50">
        <v>526</v>
      </c>
      <c r="L16" s="50">
        <v>529</v>
      </c>
      <c r="M16" s="50">
        <v>529</v>
      </c>
      <c r="N16" s="50" t="s">
        <v>7</v>
      </c>
      <c r="O16" s="50" t="s">
        <v>7</v>
      </c>
      <c r="P16" s="50" t="s">
        <v>7</v>
      </c>
      <c r="Q16" s="48"/>
    </row>
    <row r="17" spans="1:17">
      <c r="A17" s="49">
        <f t="shared" si="1"/>
        <v>2006</v>
      </c>
      <c r="B17" s="50">
        <v>373</v>
      </c>
      <c r="C17" s="50">
        <v>489</v>
      </c>
      <c r="D17" s="50">
        <v>509</v>
      </c>
      <c r="E17" s="50">
        <v>529</v>
      </c>
      <c r="F17" s="50">
        <v>540</v>
      </c>
      <c r="G17" s="50">
        <v>547</v>
      </c>
      <c r="H17" s="50">
        <v>551</v>
      </c>
      <c r="I17" s="50">
        <v>556</v>
      </c>
      <c r="J17" s="50">
        <v>557</v>
      </c>
      <c r="K17" s="50">
        <v>553</v>
      </c>
      <c r="L17" s="50">
        <v>554</v>
      </c>
      <c r="M17" s="50" t="s">
        <v>7</v>
      </c>
      <c r="N17" s="50" t="s">
        <v>7</v>
      </c>
      <c r="O17" s="50" t="s">
        <v>7</v>
      </c>
      <c r="P17" s="50" t="s">
        <v>7</v>
      </c>
      <c r="Q17" s="48"/>
    </row>
    <row r="18" spans="1:17">
      <c r="A18" s="49">
        <f t="shared" si="1"/>
        <v>2007</v>
      </c>
      <c r="B18" s="50">
        <v>263</v>
      </c>
      <c r="C18" s="50">
        <v>374</v>
      </c>
      <c r="D18" s="50">
        <v>398</v>
      </c>
      <c r="E18" s="50">
        <v>409</v>
      </c>
      <c r="F18" s="50">
        <v>424</v>
      </c>
      <c r="G18" s="50">
        <v>430</v>
      </c>
      <c r="H18" s="50">
        <v>431</v>
      </c>
      <c r="I18" s="50">
        <v>431</v>
      </c>
      <c r="J18" s="50">
        <v>433</v>
      </c>
      <c r="K18" s="50">
        <v>433</v>
      </c>
      <c r="L18" s="50" t="s">
        <v>7</v>
      </c>
      <c r="M18" s="50" t="s">
        <v>7</v>
      </c>
      <c r="N18" s="50" t="s">
        <v>7</v>
      </c>
      <c r="O18" s="50" t="s">
        <v>7</v>
      </c>
      <c r="P18" s="50" t="s">
        <v>7</v>
      </c>
    </row>
    <row r="19" spans="1:17">
      <c r="A19" s="49">
        <f t="shared" si="1"/>
        <v>2008</v>
      </c>
      <c r="B19" s="50">
        <v>272</v>
      </c>
      <c r="C19" s="50">
        <v>400</v>
      </c>
      <c r="D19" s="50">
        <v>430</v>
      </c>
      <c r="E19" s="50">
        <v>448</v>
      </c>
      <c r="F19" s="50">
        <v>457</v>
      </c>
      <c r="G19" s="50">
        <v>464</v>
      </c>
      <c r="H19" s="50">
        <v>467</v>
      </c>
      <c r="I19" s="50">
        <v>473</v>
      </c>
      <c r="J19" s="50">
        <v>473</v>
      </c>
      <c r="K19" s="50" t="s">
        <v>7</v>
      </c>
      <c r="L19" s="50" t="s">
        <v>7</v>
      </c>
      <c r="M19" s="50" t="s">
        <v>7</v>
      </c>
      <c r="N19" s="50" t="s">
        <v>7</v>
      </c>
      <c r="O19" s="50" t="s">
        <v>7</v>
      </c>
      <c r="P19" s="50" t="s">
        <v>7</v>
      </c>
    </row>
    <row r="20" spans="1:17">
      <c r="A20" s="49">
        <f t="shared" si="1"/>
        <v>2009</v>
      </c>
      <c r="B20" s="50">
        <v>300</v>
      </c>
      <c r="C20" s="50">
        <v>431</v>
      </c>
      <c r="D20" s="50">
        <v>464</v>
      </c>
      <c r="E20" s="50">
        <v>478</v>
      </c>
      <c r="F20" s="50">
        <v>490</v>
      </c>
      <c r="G20" s="50">
        <v>492</v>
      </c>
      <c r="H20" s="50">
        <v>497</v>
      </c>
      <c r="I20" s="50">
        <v>497</v>
      </c>
      <c r="J20" s="50" t="s">
        <v>7</v>
      </c>
      <c r="K20" s="50" t="s">
        <v>7</v>
      </c>
      <c r="L20" s="50" t="s">
        <v>7</v>
      </c>
      <c r="M20" s="50" t="s">
        <v>7</v>
      </c>
      <c r="N20" s="50" t="s">
        <v>7</v>
      </c>
      <c r="O20" s="50" t="s">
        <v>7</v>
      </c>
      <c r="P20" s="50" t="s">
        <v>7</v>
      </c>
    </row>
    <row r="21" spans="1:17">
      <c r="A21" s="49">
        <f t="shared" si="1"/>
        <v>2010</v>
      </c>
      <c r="B21" s="50">
        <v>292</v>
      </c>
      <c r="C21" s="50">
        <v>441</v>
      </c>
      <c r="D21" s="50">
        <v>464</v>
      </c>
      <c r="E21" s="50">
        <v>484</v>
      </c>
      <c r="F21" s="50">
        <v>494</v>
      </c>
      <c r="G21" s="50">
        <v>498</v>
      </c>
      <c r="H21" s="50">
        <v>500</v>
      </c>
      <c r="I21" s="50" t="s">
        <v>7</v>
      </c>
      <c r="J21" s="50" t="s">
        <v>7</v>
      </c>
      <c r="K21" s="50" t="s">
        <v>7</v>
      </c>
      <c r="L21" s="50" t="s">
        <v>7</v>
      </c>
      <c r="M21" s="50" t="s">
        <v>7</v>
      </c>
      <c r="N21" s="50" t="s">
        <v>7</v>
      </c>
      <c r="O21" s="50" t="s">
        <v>7</v>
      </c>
      <c r="P21" s="50" t="s">
        <v>7</v>
      </c>
    </row>
    <row r="22" spans="1:17">
      <c r="A22" s="49">
        <f t="shared" si="1"/>
        <v>2011</v>
      </c>
      <c r="B22" s="50">
        <v>230</v>
      </c>
      <c r="C22" s="50">
        <v>378</v>
      </c>
      <c r="D22" s="50">
        <v>406</v>
      </c>
      <c r="E22" s="50">
        <v>423</v>
      </c>
      <c r="F22" s="50">
        <v>442</v>
      </c>
      <c r="G22" s="50">
        <v>445</v>
      </c>
      <c r="H22" s="50" t="s">
        <v>7</v>
      </c>
      <c r="I22" s="50" t="s">
        <v>7</v>
      </c>
      <c r="J22" s="50" t="s">
        <v>7</v>
      </c>
      <c r="K22" s="50" t="s">
        <v>7</v>
      </c>
      <c r="L22" s="50" t="s">
        <v>7</v>
      </c>
      <c r="M22" s="50" t="s">
        <v>7</v>
      </c>
      <c r="N22" s="50" t="s">
        <v>7</v>
      </c>
      <c r="O22" s="50" t="s">
        <v>7</v>
      </c>
      <c r="P22" s="50" t="s">
        <v>7</v>
      </c>
    </row>
    <row r="23" spans="1:17">
      <c r="A23" s="49">
        <f t="shared" si="1"/>
        <v>2012</v>
      </c>
      <c r="B23" s="50">
        <v>305</v>
      </c>
      <c r="C23" s="50">
        <v>441</v>
      </c>
      <c r="D23" s="50">
        <v>461</v>
      </c>
      <c r="E23" s="50">
        <v>472</v>
      </c>
      <c r="F23" s="50">
        <v>482</v>
      </c>
      <c r="G23" s="50" t="s">
        <v>7</v>
      </c>
      <c r="H23" s="50" t="s">
        <v>7</v>
      </c>
      <c r="I23" s="50" t="s">
        <v>7</v>
      </c>
      <c r="J23" s="50" t="s">
        <v>7</v>
      </c>
      <c r="K23" s="50" t="s">
        <v>7</v>
      </c>
      <c r="L23" s="50" t="s">
        <v>7</v>
      </c>
      <c r="M23" s="50" t="s">
        <v>7</v>
      </c>
      <c r="N23" s="50" t="s">
        <v>7</v>
      </c>
      <c r="O23" s="50" t="s">
        <v>7</v>
      </c>
      <c r="P23" s="50" t="s">
        <v>7</v>
      </c>
    </row>
    <row r="24" spans="1:17">
      <c r="A24" s="49">
        <f t="shared" si="1"/>
        <v>2013</v>
      </c>
      <c r="B24" s="50">
        <v>259</v>
      </c>
      <c r="C24" s="50">
        <v>405</v>
      </c>
      <c r="D24" s="50">
        <v>435</v>
      </c>
      <c r="E24" s="50">
        <v>452</v>
      </c>
      <c r="F24" s="50" t="s">
        <v>7</v>
      </c>
      <c r="G24" s="50" t="s">
        <v>7</v>
      </c>
      <c r="H24" s="50" t="s">
        <v>7</v>
      </c>
      <c r="I24" s="50" t="s">
        <v>7</v>
      </c>
      <c r="J24" s="50" t="s">
        <v>7</v>
      </c>
      <c r="K24" s="50" t="s">
        <v>7</v>
      </c>
      <c r="L24" s="50" t="s">
        <v>7</v>
      </c>
      <c r="M24" s="50" t="s">
        <v>7</v>
      </c>
      <c r="N24" s="50" t="s">
        <v>7</v>
      </c>
      <c r="O24" s="50" t="s">
        <v>7</v>
      </c>
      <c r="P24" s="50" t="s">
        <v>7</v>
      </c>
    </row>
    <row r="25" spans="1:17">
      <c r="A25" s="49">
        <f t="shared" si="1"/>
        <v>2014</v>
      </c>
      <c r="B25" s="50">
        <v>237</v>
      </c>
      <c r="C25" s="50">
        <v>377</v>
      </c>
      <c r="D25" s="50">
        <v>412</v>
      </c>
      <c r="E25" s="50" t="s">
        <v>7</v>
      </c>
      <c r="F25" s="50" t="s">
        <v>7</v>
      </c>
      <c r="G25" s="50" t="s">
        <v>7</v>
      </c>
      <c r="H25" s="50" t="s">
        <v>7</v>
      </c>
      <c r="I25" s="50" t="s">
        <v>7</v>
      </c>
      <c r="J25" s="50" t="s">
        <v>7</v>
      </c>
      <c r="K25" s="50" t="s">
        <v>7</v>
      </c>
      <c r="L25" s="50" t="s">
        <v>7</v>
      </c>
      <c r="M25" s="50" t="s">
        <v>7</v>
      </c>
      <c r="N25" s="50" t="s">
        <v>7</v>
      </c>
      <c r="O25" s="50" t="s">
        <v>7</v>
      </c>
      <c r="P25" s="50" t="s">
        <v>7</v>
      </c>
    </row>
    <row r="26" spans="1:17">
      <c r="A26" s="49">
        <f>+A27-1</f>
        <v>2015</v>
      </c>
      <c r="B26" s="50">
        <v>217</v>
      </c>
      <c r="C26" s="50">
        <v>350</v>
      </c>
      <c r="D26" s="50" t="s">
        <v>7</v>
      </c>
      <c r="E26" s="50" t="s">
        <v>7</v>
      </c>
      <c r="F26" s="50" t="s">
        <v>7</v>
      </c>
      <c r="G26" s="50" t="s">
        <v>7</v>
      </c>
      <c r="H26" s="50" t="s">
        <v>7</v>
      </c>
      <c r="I26" s="50" t="s">
        <v>7</v>
      </c>
      <c r="J26" s="50" t="s">
        <v>7</v>
      </c>
      <c r="K26" s="50" t="s">
        <v>7</v>
      </c>
      <c r="L26" s="50" t="s">
        <v>7</v>
      </c>
      <c r="M26" s="50" t="s">
        <v>7</v>
      </c>
      <c r="N26" s="50" t="s">
        <v>7</v>
      </c>
      <c r="O26" s="50" t="s">
        <v>7</v>
      </c>
      <c r="P26" s="50" t="s">
        <v>7</v>
      </c>
    </row>
    <row r="27" spans="1:17">
      <c r="A27" s="51">
        <f>+EndYear</f>
        <v>2016</v>
      </c>
      <c r="B27" s="50">
        <v>218</v>
      </c>
      <c r="C27" s="50" t="s">
        <v>7</v>
      </c>
      <c r="D27" s="50" t="s">
        <v>7</v>
      </c>
      <c r="E27" s="50" t="s">
        <v>7</v>
      </c>
      <c r="F27" s="50" t="s">
        <v>7</v>
      </c>
      <c r="G27" s="50" t="s">
        <v>7</v>
      </c>
      <c r="H27" s="50" t="s">
        <v>7</v>
      </c>
      <c r="I27" s="50" t="s">
        <v>7</v>
      </c>
      <c r="J27" s="50" t="s">
        <v>7</v>
      </c>
      <c r="K27" s="50" t="s">
        <v>7</v>
      </c>
      <c r="L27" s="50" t="s">
        <v>7</v>
      </c>
      <c r="M27" s="50" t="s">
        <v>7</v>
      </c>
      <c r="N27" s="50" t="s">
        <v>7</v>
      </c>
      <c r="O27" s="50" t="s">
        <v>7</v>
      </c>
      <c r="P27" s="50" t="s">
        <v>7</v>
      </c>
    </row>
    <row r="28" spans="1:17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30" spans="1:17">
      <c r="A30" s="40" t="str">
        <f>'[1]Exercise 6 - Paid-Ldfs'!$A$10</f>
        <v>Accident</v>
      </c>
      <c r="B30" s="41" t="s">
        <v>8</v>
      </c>
      <c r="C30" s="41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5"/>
    </row>
    <row r="31" spans="1:17">
      <c r="A31" s="43" t="s">
        <v>5</v>
      </c>
      <c r="B31" s="56" t="s">
        <v>9</v>
      </c>
      <c r="C31" s="56" t="s">
        <v>10</v>
      </c>
      <c r="D31" s="56" t="s">
        <v>11</v>
      </c>
      <c r="E31" s="56" t="s">
        <v>12</v>
      </c>
      <c r="F31" s="56" t="s">
        <v>13</v>
      </c>
      <c r="G31" s="56" t="s">
        <v>14</v>
      </c>
      <c r="H31" s="56" t="s">
        <v>15</v>
      </c>
      <c r="I31" s="56" t="s">
        <v>16</v>
      </c>
      <c r="J31" s="56" t="s">
        <v>17</v>
      </c>
      <c r="K31" s="56" t="s">
        <v>18</v>
      </c>
      <c r="L31" s="56" t="s">
        <v>19</v>
      </c>
      <c r="M31" s="56" t="s">
        <v>20</v>
      </c>
      <c r="N31" s="56" t="s">
        <v>21</v>
      </c>
      <c r="O31" s="56" t="s">
        <v>22</v>
      </c>
      <c r="P31" s="56" t="s">
        <v>23</v>
      </c>
    </row>
    <row r="32" spans="1:17">
      <c r="A32" s="49"/>
    </row>
    <row r="33" spans="1:16">
      <c r="A33" s="49">
        <f t="shared" ref="A33:A45" si="2">+A14</f>
        <v>2003</v>
      </c>
      <c r="B33" s="53">
        <f>ROUND(C13/B13,3)</f>
        <v>1.4810000000000001</v>
      </c>
      <c r="C33" s="53">
        <f t="shared" ref="C33:N45" si="3">ROUND(D13/C13,3)</f>
        <v>1.08</v>
      </c>
      <c r="D33" s="53">
        <f t="shared" si="3"/>
        <v>1.0389999999999999</v>
      </c>
      <c r="E33" s="53">
        <f t="shared" si="3"/>
        <v>1.03</v>
      </c>
      <c r="F33" s="53">
        <f t="shared" si="3"/>
        <v>1.014</v>
      </c>
      <c r="G33" s="53">
        <f t="shared" si="3"/>
        <v>1.004</v>
      </c>
      <c r="H33" s="53">
        <f t="shared" si="3"/>
        <v>1.0049999999999999</v>
      </c>
      <c r="I33" s="53">
        <f t="shared" si="3"/>
        <v>1.0009999999999999</v>
      </c>
      <c r="J33" s="53">
        <f t="shared" si="3"/>
        <v>1.0009999999999999</v>
      </c>
      <c r="K33" s="53">
        <f t="shared" si="3"/>
        <v>1.0029999999999999</v>
      </c>
      <c r="L33" s="53">
        <f t="shared" si="3"/>
        <v>1.0009999999999999</v>
      </c>
      <c r="M33" s="53">
        <f t="shared" si="3"/>
        <v>1</v>
      </c>
      <c r="N33" s="53">
        <f t="shared" si="3"/>
        <v>1</v>
      </c>
      <c r="O33" s="53">
        <f>ROUND(P13/O13,3)</f>
        <v>1</v>
      </c>
    </row>
    <row r="34" spans="1:16">
      <c r="A34" s="49">
        <f t="shared" si="2"/>
        <v>2004</v>
      </c>
      <c r="B34" s="53">
        <f t="shared" ref="B34:B46" si="4">ROUND(C14/B14,3)</f>
        <v>1.421</v>
      </c>
      <c r="C34" s="53">
        <f t="shared" si="3"/>
        <v>1.0860000000000001</v>
      </c>
      <c r="D34" s="53">
        <f t="shared" si="3"/>
        <v>1.046</v>
      </c>
      <c r="E34" s="53">
        <f t="shared" si="3"/>
        <v>1.02</v>
      </c>
      <c r="F34" s="53">
        <f t="shared" si="3"/>
        <v>1.014</v>
      </c>
      <c r="G34" s="53">
        <f t="shared" si="3"/>
        <v>1.002</v>
      </c>
      <c r="H34" s="53">
        <f t="shared" si="3"/>
        <v>1.006</v>
      </c>
      <c r="I34" s="53">
        <f t="shared" si="3"/>
        <v>1</v>
      </c>
      <c r="J34" s="53">
        <f t="shared" si="3"/>
        <v>1</v>
      </c>
      <c r="K34" s="53">
        <f t="shared" si="3"/>
        <v>1.002</v>
      </c>
      <c r="L34" s="53">
        <f t="shared" si="3"/>
        <v>1</v>
      </c>
      <c r="M34" s="53">
        <f t="shared" si="3"/>
        <v>1.002</v>
      </c>
      <c r="N34" s="53">
        <f t="shared" si="3"/>
        <v>1.002</v>
      </c>
    </row>
    <row r="35" spans="1:16">
      <c r="A35" s="49">
        <f t="shared" si="2"/>
        <v>2005</v>
      </c>
      <c r="B35" s="53">
        <f t="shared" si="4"/>
        <v>1.5249999999999999</v>
      </c>
      <c r="C35" s="53">
        <f t="shared" si="3"/>
        <v>1.089</v>
      </c>
      <c r="D35" s="53">
        <f t="shared" si="3"/>
        <v>1.034</v>
      </c>
      <c r="E35" s="53">
        <f t="shared" si="3"/>
        <v>1.04</v>
      </c>
      <c r="F35" s="53">
        <f t="shared" si="3"/>
        <v>1.016</v>
      </c>
      <c r="G35" s="53">
        <f t="shared" si="3"/>
        <v>1.004</v>
      </c>
      <c r="H35" s="53">
        <f t="shared" si="3"/>
        <v>1.004</v>
      </c>
      <c r="I35" s="53">
        <f t="shared" si="3"/>
        <v>1</v>
      </c>
      <c r="J35" s="53">
        <f t="shared" si="3"/>
        <v>1</v>
      </c>
      <c r="K35" s="53">
        <f t="shared" si="3"/>
        <v>1</v>
      </c>
      <c r="L35" s="53">
        <f t="shared" si="3"/>
        <v>1.002</v>
      </c>
      <c r="M35" s="53">
        <f t="shared" si="3"/>
        <v>1</v>
      </c>
    </row>
    <row r="36" spans="1:16">
      <c r="A36" s="49">
        <f t="shared" si="2"/>
        <v>2006</v>
      </c>
      <c r="B36" s="53">
        <f t="shared" si="4"/>
        <v>1.5029999999999999</v>
      </c>
      <c r="C36" s="53">
        <f t="shared" si="3"/>
        <v>1.0649999999999999</v>
      </c>
      <c r="D36" s="53">
        <f t="shared" si="3"/>
        <v>1.038</v>
      </c>
      <c r="E36" s="53">
        <f t="shared" si="3"/>
        <v>1.032</v>
      </c>
      <c r="F36" s="53">
        <f t="shared" si="3"/>
        <v>1.012</v>
      </c>
      <c r="G36" s="53">
        <f t="shared" si="3"/>
        <v>1.006</v>
      </c>
      <c r="H36" s="53">
        <f t="shared" si="3"/>
        <v>1.006</v>
      </c>
      <c r="I36" s="53">
        <f t="shared" si="3"/>
        <v>1.002</v>
      </c>
      <c r="J36" s="53">
        <f t="shared" si="3"/>
        <v>1.004</v>
      </c>
      <c r="K36" s="53">
        <f t="shared" si="3"/>
        <v>1.006</v>
      </c>
      <c r="L36" s="53">
        <f t="shared" si="3"/>
        <v>1</v>
      </c>
    </row>
    <row r="37" spans="1:16">
      <c r="A37" s="49">
        <f t="shared" si="2"/>
        <v>2007</v>
      </c>
      <c r="B37" s="53">
        <f t="shared" si="4"/>
        <v>1.3109999999999999</v>
      </c>
      <c r="C37" s="53">
        <f t="shared" si="3"/>
        <v>1.0409999999999999</v>
      </c>
      <c r="D37" s="53">
        <f t="shared" si="3"/>
        <v>1.0389999999999999</v>
      </c>
      <c r="E37" s="53">
        <f t="shared" si="3"/>
        <v>1.0209999999999999</v>
      </c>
      <c r="F37" s="53">
        <f t="shared" si="3"/>
        <v>1.0129999999999999</v>
      </c>
      <c r="G37" s="53">
        <f t="shared" si="3"/>
        <v>1.0069999999999999</v>
      </c>
      <c r="H37" s="53">
        <f t="shared" si="3"/>
        <v>1.0089999999999999</v>
      </c>
      <c r="I37" s="53">
        <f t="shared" si="3"/>
        <v>1.002</v>
      </c>
      <c r="J37" s="53">
        <f t="shared" si="3"/>
        <v>0.99299999999999999</v>
      </c>
      <c r="K37" s="53">
        <f t="shared" si="3"/>
        <v>1.002</v>
      </c>
    </row>
    <row r="38" spans="1:16">
      <c r="A38" s="49">
        <f t="shared" si="2"/>
        <v>2008</v>
      </c>
      <c r="B38" s="53">
        <f t="shared" si="4"/>
        <v>1.4219999999999999</v>
      </c>
      <c r="C38" s="53">
        <f t="shared" si="3"/>
        <v>1.0640000000000001</v>
      </c>
      <c r="D38" s="53">
        <f t="shared" si="3"/>
        <v>1.028</v>
      </c>
      <c r="E38" s="53">
        <f t="shared" si="3"/>
        <v>1.0369999999999999</v>
      </c>
      <c r="F38" s="53">
        <f t="shared" si="3"/>
        <v>1.014</v>
      </c>
      <c r="G38" s="53">
        <f t="shared" si="3"/>
        <v>1.002</v>
      </c>
      <c r="H38" s="53">
        <f t="shared" si="3"/>
        <v>1</v>
      </c>
      <c r="I38" s="53">
        <f t="shared" si="3"/>
        <v>1.0049999999999999</v>
      </c>
      <c r="J38" s="53">
        <f t="shared" si="3"/>
        <v>1</v>
      </c>
      <c r="K38" s="53"/>
      <c r="L38" s="53"/>
      <c r="M38" s="53"/>
      <c r="N38" s="53"/>
      <c r="O38" s="53"/>
      <c r="P38" s="53"/>
    </row>
    <row r="39" spans="1:16">
      <c r="A39" s="49">
        <f t="shared" si="2"/>
        <v>2009</v>
      </c>
      <c r="B39" s="53">
        <f t="shared" si="4"/>
        <v>1.4710000000000001</v>
      </c>
      <c r="C39" s="53">
        <f t="shared" si="3"/>
        <v>1.075</v>
      </c>
      <c r="D39" s="53">
        <f t="shared" si="3"/>
        <v>1.042</v>
      </c>
      <c r="E39" s="53">
        <f t="shared" si="3"/>
        <v>1.02</v>
      </c>
      <c r="F39" s="53">
        <f t="shared" si="3"/>
        <v>1.0149999999999999</v>
      </c>
      <c r="G39" s="53">
        <f t="shared" si="3"/>
        <v>1.006</v>
      </c>
      <c r="H39" s="53">
        <f t="shared" si="3"/>
        <v>1.0129999999999999</v>
      </c>
      <c r="I39" s="53">
        <f t="shared" si="3"/>
        <v>1</v>
      </c>
      <c r="J39" s="53"/>
      <c r="K39" s="53"/>
      <c r="L39" s="53"/>
      <c r="M39" s="53"/>
      <c r="N39" s="53"/>
      <c r="O39" s="53"/>
      <c r="P39" s="53"/>
    </row>
    <row r="40" spans="1:16">
      <c r="A40" s="49">
        <f t="shared" si="2"/>
        <v>2010</v>
      </c>
      <c r="B40" s="53">
        <f t="shared" si="4"/>
        <v>1.4370000000000001</v>
      </c>
      <c r="C40" s="53">
        <f t="shared" si="3"/>
        <v>1.077</v>
      </c>
      <c r="D40" s="53">
        <f t="shared" si="3"/>
        <v>1.03</v>
      </c>
      <c r="E40" s="53">
        <f t="shared" si="3"/>
        <v>1.0249999999999999</v>
      </c>
      <c r="F40" s="53">
        <f t="shared" si="3"/>
        <v>1.004</v>
      </c>
      <c r="G40" s="53">
        <f t="shared" si="3"/>
        <v>1.01</v>
      </c>
      <c r="H40" s="53">
        <f t="shared" si="3"/>
        <v>1</v>
      </c>
      <c r="I40" s="53"/>
      <c r="J40" s="53"/>
      <c r="K40" s="53"/>
      <c r="L40" s="53"/>
      <c r="M40" s="53"/>
      <c r="N40" s="53"/>
      <c r="O40" s="53"/>
      <c r="P40" s="53"/>
    </row>
    <row r="41" spans="1:16">
      <c r="A41" s="49">
        <f t="shared" si="2"/>
        <v>2011</v>
      </c>
      <c r="B41" s="53">
        <f t="shared" si="4"/>
        <v>1.51</v>
      </c>
      <c r="C41" s="53">
        <f t="shared" si="3"/>
        <v>1.052</v>
      </c>
      <c r="D41" s="53">
        <f t="shared" si="3"/>
        <v>1.0429999999999999</v>
      </c>
      <c r="E41" s="53">
        <f t="shared" si="3"/>
        <v>1.0209999999999999</v>
      </c>
      <c r="F41" s="53">
        <f t="shared" si="3"/>
        <v>1.008</v>
      </c>
      <c r="G41" s="53">
        <f t="shared" si="3"/>
        <v>1.004</v>
      </c>
      <c r="H41" s="53"/>
      <c r="I41" s="53"/>
      <c r="J41" s="53"/>
      <c r="K41" s="53"/>
      <c r="L41" s="53"/>
      <c r="M41" s="53"/>
      <c r="N41" s="53"/>
      <c r="O41" s="53"/>
      <c r="P41" s="53"/>
    </row>
    <row r="42" spans="1:16">
      <c r="A42" s="49">
        <f t="shared" si="2"/>
        <v>2012</v>
      </c>
      <c r="B42" s="53">
        <f t="shared" si="4"/>
        <v>1.643</v>
      </c>
      <c r="C42" s="53">
        <f t="shared" si="3"/>
        <v>1.0740000000000001</v>
      </c>
      <c r="D42" s="53">
        <f t="shared" si="3"/>
        <v>1.042</v>
      </c>
      <c r="E42" s="53">
        <f t="shared" si="3"/>
        <v>1.0449999999999999</v>
      </c>
      <c r="F42" s="53">
        <f t="shared" si="3"/>
        <v>1.0069999999999999</v>
      </c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>
      <c r="A43" s="49">
        <f t="shared" si="2"/>
        <v>2013</v>
      </c>
      <c r="B43" s="53">
        <f t="shared" si="4"/>
        <v>1.446</v>
      </c>
      <c r="C43" s="53">
        <f t="shared" si="3"/>
        <v>1.0449999999999999</v>
      </c>
      <c r="D43" s="53">
        <f t="shared" si="3"/>
        <v>1.024</v>
      </c>
      <c r="E43" s="53">
        <f t="shared" si="3"/>
        <v>1.0209999999999999</v>
      </c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16">
      <c r="A44" s="49">
        <f t="shared" si="2"/>
        <v>2014</v>
      </c>
      <c r="B44" s="53">
        <f t="shared" si="4"/>
        <v>1.5640000000000001</v>
      </c>
      <c r="C44" s="53">
        <f t="shared" si="3"/>
        <v>1.0740000000000001</v>
      </c>
      <c r="D44" s="53">
        <f t="shared" si="3"/>
        <v>1.0389999999999999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>
      <c r="A45" s="49">
        <f t="shared" si="2"/>
        <v>2015</v>
      </c>
      <c r="B45" s="53">
        <f t="shared" si="4"/>
        <v>1.591</v>
      </c>
      <c r="C45" s="53">
        <f t="shared" si="3"/>
        <v>1.093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>
      <c r="A46" s="51">
        <f>+A27</f>
        <v>2016</v>
      </c>
      <c r="B46" s="53">
        <f t="shared" si="4"/>
        <v>1.613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</row>
    <row r="47" spans="1:16">
      <c r="B47" s="58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1:16">
      <c r="A48" s="59" t="s">
        <v>24</v>
      </c>
      <c r="B48" s="59"/>
    </row>
    <row r="49" spans="1:17">
      <c r="A49" s="59" t="s">
        <v>25</v>
      </c>
      <c r="B49" s="53">
        <f>ROUND(AVERAGE(B44:B46),3)</f>
        <v>1.589</v>
      </c>
      <c r="C49" s="53">
        <f>ROUND(AVERAGE(C43:C45),3)</f>
        <v>1.071</v>
      </c>
      <c r="D49" s="53">
        <f>ROUND(AVERAGE(D42:D44),3)</f>
        <v>1.0349999999999999</v>
      </c>
      <c r="E49" s="53">
        <f>ROUND(AVERAGE(E41:E43),3)</f>
        <v>1.0289999999999999</v>
      </c>
      <c r="F49" s="53">
        <f>ROUND(AVERAGE(F40:F42),3)</f>
        <v>1.006</v>
      </c>
      <c r="G49" s="53">
        <f>ROUND(AVERAGE(G39:G41),3)</f>
        <v>1.0069999999999999</v>
      </c>
      <c r="H49" s="53">
        <f>ROUND(AVERAGE(H38:H40),3)</f>
        <v>1.004</v>
      </c>
      <c r="I49" s="53">
        <f>ROUND(AVERAGE(I37:I39),3)</f>
        <v>1.002</v>
      </c>
      <c r="J49" s="53">
        <f>ROUND(AVERAGE(J36:J38),3)</f>
        <v>0.999</v>
      </c>
      <c r="K49" s="53">
        <f>ROUND(AVERAGE(K35:K37),3)</f>
        <v>1.0029999999999999</v>
      </c>
      <c r="L49" s="53">
        <f>ROUND(AVERAGE(L34:L36),3)</f>
        <v>1.0009999999999999</v>
      </c>
      <c r="M49" s="53">
        <f>ROUND(AVERAGE(M33:M35),3)</f>
        <v>1.0009999999999999</v>
      </c>
      <c r="N49" s="53"/>
      <c r="O49" s="53"/>
      <c r="P49" s="53"/>
    </row>
    <row r="50" spans="1:17">
      <c r="A50" s="59" t="s">
        <v>26</v>
      </c>
      <c r="B50" s="53">
        <f>ROUND(AVERAGE(B42:B46),3)</f>
        <v>1.571</v>
      </c>
      <c r="C50" s="53">
        <f>ROUND(AVERAGE(C41:C45),3)</f>
        <v>1.0680000000000001</v>
      </c>
      <c r="D50" s="53">
        <f>ROUND(AVERAGE(D40:D44),3)</f>
        <v>1.036</v>
      </c>
      <c r="E50" s="53">
        <f>ROUND(AVERAGE(E39:E43),3)</f>
        <v>1.026</v>
      </c>
      <c r="F50" s="53">
        <f>ROUND(AVERAGE(F38:F42),3)</f>
        <v>1.01</v>
      </c>
      <c r="G50" s="53">
        <f>ROUND(AVERAGE(G37:G41),3)</f>
        <v>1.006</v>
      </c>
      <c r="H50" s="53">
        <f>ROUND(AVERAGE(H36:H40),3)</f>
        <v>1.006</v>
      </c>
      <c r="I50" s="53">
        <f>ROUND(AVERAGE(I35:I39),3)</f>
        <v>1.002</v>
      </c>
      <c r="J50" s="53">
        <f>ROUND(AVERAGE(J34:J38),3)</f>
        <v>0.999</v>
      </c>
      <c r="K50" s="53">
        <f>ROUND(AVERAGE(K33:K37),3)</f>
        <v>1.0029999999999999</v>
      </c>
      <c r="L50" s="53">
        <f>ROUND(AVERAGE(L32:L36),3)</f>
        <v>1.0009999999999999</v>
      </c>
      <c r="M50" s="53"/>
      <c r="N50" s="53"/>
      <c r="O50" s="53"/>
      <c r="P50" s="53"/>
    </row>
    <row r="51" spans="1:17">
      <c r="A51" s="59" t="s">
        <v>27</v>
      </c>
      <c r="B51" s="53">
        <f>ROUND((SUM(B42:B46)-MAX(B42:B46)-MIN(B42:B46))/3,3)</f>
        <v>1.589</v>
      </c>
      <c r="C51" s="53">
        <f>ROUND((SUM(C41:C45)-MAX(C41:C45)-MIN(C41:C45))/3,3)</f>
        <v>1.0669999999999999</v>
      </c>
      <c r="D51" s="53">
        <f>ROUND((SUM(D40:D44)-MAX(D40:D44)-MIN(D40:D44))/3,3)</f>
        <v>1.0369999999999999</v>
      </c>
      <c r="E51" s="53">
        <f>ROUND((SUM(E39:E43)-MAX(E39:E43)-MIN(E39:E43))/3,3)</f>
        <v>1.022</v>
      </c>
      <c r="F51" s="53">
        <f>ROUND((SUM(F38:F42)-MAX(F38:F42)-MIN(F38:F42))/3,3)</f>
        <v>1.01</v>
      </c>
      <c r="G51" s="53">
        <f>ROUND((SUM(G37:G41)-MAX(G37:G41)-MIN(G37:G41))/3,3)</f>
        <v>1.006</v>
      </c>
      <c r="H51" s="53">
        <f>ROUND((SUM(H36:H40)-MAX(H36:H40)-MIN(H36:H40))/3,3)</f>
        <v>1.0049999999999999</v>
      </c>
      <c r="I51" s="53">
        <f>ROUND((SUM(I35:I39)-MAX(I35:I39)-MIN(I35:I39))/3,3)</f>
        <v>1.0009999999999999</v>
      </c>
      <c r="J51" s="53">
        <f>ROUND((SUM(J34:J38)-MAX(J34:J38)-MIN(J34:J38))/3,3)</f>
        <v>1</v>
      </c>
      <c r="K51" s="53">
        <f>ROUND((SUM(K33:K37)-MAX(K33:K37)-MIN(K33:K37))/3,3)</f>
        <v>1.002</v>
      </c>
      <c r="L51" s="53">
        <f>ROUND((SUM(L32:L36)-MAX(L32:L36)-MIN(L32:L36))/3,3)</f>
        <v>0.66700000000000004</v>
      </c>
      <c r="N51" s="53"/>
      <c r="O51" s="53"/>
      <c r="P51" s="53"/>
      <c r="Q51" s="58"/>
    </row>
    <row r="52" spans="1:17">
      <c r="A52" s="60" t="s">
        <v>28</v>
      </c>
      <c r="B52" s="53">
        <f>AVERAGE(B32:B47)</f>
        <v>1.4955714285714288</v>
      </c>
      <c r="C52" s="53">
        <f>AVERAGE(C31:C46)</f>
        <v>1.0703846153846155</v>
      </c>
      <c r="D52" s="53">
        <f>AVERAGE(D30:D45)</f>
        <v>1.0369999999999997</v>
      </c>
      <c r="E52" s="53">
        <f>AVERAGE(E29:E44)</f>
        <v>1.0283636363636361</v>
      </c>
      <c r="F52" s="53">
        <f>AVERAGE(F28:F43)</f>
        <v>1.0116999999999998</v>
      </c>
      <c r="G52" s="53">
        <f>AVERAGE(G27:G42)</f>
        <v>1.0049999999999999</v>
      </c>
      <c r="H52" s="53">
        <f>AVERAGE(H26:H41)</f>
        <v>1.0053749999999999</v>
      </c>
      <c r="I52" s="53">
        <f>AVERAGE(I25:I40)</f>
        <v>1.0014285714285713</v>
      </c>
      <c r="J52" s="53">
        <f>AVERAGE(J24:J39)</f>
        <v>0.9996666666666667</v>
      </c>
      <c r="K52" s="53">
        <f>AVERAGE(K23:K38)</f>
        <v>1.0025999999999999</v>
      </c>
      <c r="L52" s="53">
        <f>AVERAGE(L22:L37)</f>
        <v>1.00075</v>
      </c>
      <c r="M52" s="53">
        <f>AVERAGE(M21:M36)</f>
        <v>1.0006666666666666</v>
      </c>
      <c r="N52" s="53">
        <f>AVERAGE(N20:N35)</f>
        <v>1.0009999999999999</v>
      </c>
      <c r="O52" s="53">
        <f>AVERAGE(O20:O35)</f>
        <v>1</v>
      </c>
      <c r="P52" s="53"/>
      <c r="Q52" s="58"/>
    </row>
    <row r="53" spans="1:17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8"/>
    </row>
    <row r="54" spans="1:17">
      <c r="A54" s="59" t="s">
        <v>29</v>
      </c>
      <c r="B54" s="53">
        <f>ROUND(SUM(C24:C26)/SUM(B24:B26),3)</f>
        <v>1.5880000000000001</v>
      </c>
      <c r="C54" s="53">
        <f>ROUND(SUM(D23:D25)/SUM(C23:C25),3)</f>
        <v>1.07</v>
      </c>
      <c r="D54" s="53">
        <f>ROUND(SUM(E22:E24)/SUM(D22:D24),3)</f>
        <v>1.0349999999999999</v>
      </c>
      <c r="E54" s="53">
        <f>ROUND(SUM(F21:F23)/SUM(E21:E23),3)</f>
        <v>1.028</v>
      </c>
      <c r="F54" s="53">
        <f>ROUND(SUM(G20:G22)/SUM(F20:F22),3)</f>
        <v>1.006</v>
      </c>
      <c r="G54" s="53">
        <f>ROUND(SUM(H19:H21)/SUM(G19:G21),3)</f>
        <v>1.0069999999999999</v>
      </c>
      <c r="H54" s="53">
        <f>ROUND(SUM(I18:I20)/SUM(H18:H20),3)</f>
        <v>1.004</v>
      </c>
      <c r="I54" s="53">
        <f>ROUND(SUM(J17:J19)/SUM(I17:I19),3)</f>
        <v>1.002</v>
      </c>
      <c r="J54" s="53">
        <f>ROUND(SUM(K16:K18)/SUM(J16:J18),3)</f>
        <v>0.999</v>
      </c>
      <c r="K54" s="53">
        <f>ROUND(SUM(L15:L17)/SUM(K15:K17),3)</f>
        <v>1.0029999999999999</v>
      </c>
      <c r="L54" s="53">
        <f>ROUND(SUM(M14:M16)/SUM(L14:L16),3)</f>
        <v>1.0009999999999999</v>
      </c>
      <c r="M54" s="53">
        <f>ROUND(SUM(N13:N15)/SUM(M13:M15),3)</f>
        <v>1.0009999999999999</v>
      </c>
      <c r="N54" s="53">
        <f>ROUND(SUM(O12:O14)/SUM(N12:N14),3)</f>
        <v>1.0009999999999999</v>
      </c>
      <c r="O54" s="53"/>
      <c r="P54" s="53"/>
      <c r="Q54" s="58"/>
    </row>
    <row r="55" spans="1:17">
      <c r="A55" s="59" t="s">
        <v>30</v>
      </c>
      <c r="B55" s="53">
        <f>ROUND(SUM(C22:C26)/SUM(B22:B26),3)</f>
        <v>1.5629999999999999</v>
      </c>
      <c r="C55" s="53">
        <f>ROUND(SUM(D21:D25)/SUM(C21:C25),3)</f>
        <v>1.0669999999999999</v>
      </c>
      <c r="D55" s="53">
        <f>ROUND(SUM(E20:E24)/SUM(D20:D24),3)</f>
        <v>1.0349999999999999</v>
      </c>
      <c r="E55" s="53">
        <f>ROUND(SUM(F19:F23)/SUM(E19:E23),3)</f>
        <v>1.026</v>
      </c>
      <c r="F55" s="53">
        <f>ROUND(SUM(G18:G22)/SUM(F18:F22),3)</f>
        <v>1.01</v>
      </c>
      <c r="G55" s="53">
        <f>ROUND(SUM(H17:H21)/SUM(G17:G21),3)</f>
        <v>1.006</v>
      </c>
      <c r="H55" s="53">
        <f>ROUND(SUM(I16:I20)/SUM(H16:H20),3)</f>
        <v>1.006</v>
      </c>
      <c r="I55" s="53">
        <f>ROUND(SUM(J15:J19)/SUM(I15:I19),3)</f>
        <v>1.002</v>
      </c>
      <c r="J55" s="53">
        <f>ROUND(SUM(K14:K18)/SUM(J14:J18),3)</f>
        <v>0.999</v>
      </c>
      <c r="K55" s="53">
        <f>ROUND(SUM(L13:L17)/SUM(K13:K17),3)</f>
        <v>1.002</v>
      </c>
      <c r="L55" s="53">
        <f>ROUND(SUM(M12:M16)/SUM(L12:L16),3)</f>
        <v>1.0009999999999999</v>
      </c>
      <c r="P55" s="53"/>
      <c r="Q55" s="58"/>
    </row>
    <row r="56" spans="1:17">
      <c r="A56" s="60" t="s">
        <v>28</v>
      </c>
      <c r="B56" s="53">
        <f>SUM(C$13:C26)/SUM(B$13:B26)</f>
        <v>1.4852542372881357</v>
      </c>
      <c r="C56" s="53">
        <f>SUM(D$13:D25)/SUM(C$13:C25)</f>
        <v>1.0697378004369993</v>
      </c>
      <c r="D56" s="53">
        <f>SUM(E$13:E24)/SUM(D$13:D24)</f>
        <v>1.0370980535725183</v>
      </c>
      <c r="E56" s="53">
        <f>SUM(F$13:F23)/SUM(E$13:E23)</f>
        <v>1.0280033245956142</v>
      </c>
      <c r="F56" s="53">
        <f>SUM(G$13:G22)/SUM(F$13:F22)</f>
        <v>1.0116859153967059</v>
      </c>
      <c r="G56" s="53">
        <f>SUM(H$13:H21)/SUM(G$13:G21)</f>
        <v>1.0051228747494245</v>
      </c>
      <c r="H56" s="53">
        <f>SUM(I$13:I20)/SUM(H$13:H20)</f>
        <v>1.0053995680345573</v>
      </c>
      <c r="I56" s="53">
        <f>SUM(J$13:J19)/SUM(I$13:I19)</f>
        <v>1.0012250282698831</v>
      </c>
      <c r="J56" s="53">
        <f>SUM(K$13:K18)/SUM(J$13:J18)</f>
        <v>0.99956550076037376</v>
      </c>
      <c r="K56" s="53">
        <f>SUM(L$13:L17)/SUM(K$13:K17)</f>
        <v>1.0024041503226622</v>
      </c>
      <c r="L56" s="53">
        <f>SUM(M$13:M16)/SUM(L$13:L16)</f>
        <v>1.0006389776357829</v>
      </c>
      <c r="M56" s="53">
        <f>SUM(N$13:N15)/SUM(M$13:M15)</f>
        <v>1.0006414368184733</v>
      </c>
      <c r="N56" s="53">
        <f>SUM(O$13:O14)/SUM(N$13:N14)</f>
        <v>1.0009551098376313</v>
      </c>
      <c r="O56" s="53">
        <f>SUM(P$13:P13)/SUM(O$13:O13)</f>
        <v>1</v>
      </c>
      <c r="P56" s="53"/>
      <c r="Q56" s="58"/>
    </row>
    <row r="57" spans="1:17"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8"/>
    </row>
    <row r="58" spans="1:17">
      <c r="A58" s="38" t="s">
        <v>31</v>
      </c>
      <c r="B58" s="61" t="s">
        <v>33</v>
      </c>
      <c r="C58" s="61" t="s">
        <v>33</v>
      </c>
      <c r="D58" s="61" t="s">
        <v>33</v>
      </c>
      <c r="E58" s="61" t="s">
        <v>33</v>
      </c>
      <c r="F58" s="61" t="s">
        <v>33</v>
      </c>
      <c r="G58" s="61" t="s">
        <v>33</v>
      </c>
      <c r="H58" s="61" t="s">
        <v>33</v>
      </c>
      <c r="I58" s="61" t="s">
        <v>33</v>
      </c>
      <c r="J58" s="61" t="s">
        <v>33</v>
      </c>
      <c r="K58" s="61" t="s">
        <v>33</v>
      </c>
      <c r="L58" s="61" t="s">
        <v>33</v>
      </c>
      <c r="M58" s="61" t="s">
        <v>33</v>
      </c>
      <c r="N58" s="61" t="s">
        <v>33</v>
      </c>
      <c r="O58" s="61" t="s">
        <v>33</v>
      </c>
      <c r="P58" s="61" t="s">
        <v>33</v>
      </c>
      <c r="Q58" s="58"/>
    </row>
    <row r="59" spans="1:17">
      <c r="A59" s="38" t="s">
        <v>32</v>
      </c>
      <c r="B59" s="61" t="s">
        <v>33</v>
      </c>
      <c r="C59" s="61" t="s">
        <v>33</v>
      </c>
      <c r="D59" s="61" t="s">
        <v>33</v>
      </c>
      <c r="E59" s="61" t="s">
        <v>33</v>
      </c>
      <c r="F59" s="61" t="s">
        <v>33</v>
      </c>
      <c r="G59" s="61" t="s">
        <v>33</v>
      </c>
      <c r="H59" s="61" t="s">
        <v>33</v>
      </c>
      <c r="I59" s="61" t="s">
        <v>33</v>
      </c>
      <c r="J59" s="61" t="s">
        <v>33</v>
      </c>
      <c r="K59" s="61" t="s">
        <v>33</v>
      </c>
      <c r="L59" s="61" t="s">
        <v>33</v>
      </c>
      <c r="M59" s="61" t="s">
        <v>33</v>
      </c>
      <c r="N59" s="61" t="s">
        <v>33</v>
      </c>
      <c r="O59" s="61" t="s">
        <v>33</v>
      </c>
      <c r="P59" s="61" t="s">
        <v>33</v>
      </c>
      <c r="Q59" s="58"/>
    </row>
    <row r="60" spans="1:17"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8"/>
    </row>
    <row r="61" spans="1:17">
      <c r="A61" s="38" t="s">
        <v>34</v>
      </c>
      <c r="B61" s="32">
        <f>+B56</f>
        <v>1.4852542372881357</v>
      </c>
      <c r="C61" s="32">
        <f t="shared" ref="C61:O61" si="5">+C56</f>
        <v>1.0697378004369993</v>
      </c>
      <c r="D61" s="32">
        <f t="shared" si="5"/>
        <v>1.0370980535725183</v>
      </c>
      <c r="E61" s="32">
        <f t="shared" si="5"/>
        <v>1.0280033245956142</v>
      </c>
      <c r="F61" s="32">
        <f t="shared" si="5"/>
        <v>1.0116859153967059</v>
      </c>
      <c r="G61" s="32">
        <f t="shared" si="5"/>
        <v>1.0051228747494245</v>
      </c>
      <c r="H61" s="32">
        <f t="shared" si="5"/>
        <v>1.0053995680345573</v>
      </c>
      <c r="I61" s="32">
        <f t="shared" si="5"/>
        <v>1.0012250282698831</v>
      </c>
      <c r="J61" s="32">
        <f t="shared" si="5"/>
        <v>0.99956550076037376</v>
      </c>
      <c r="K61" s="32">
        <f t="shared" si="5"/>
        <v>1.0024041503226622</v>
      </c>
      <c r="L61" s="32">
        <f t="shared" si="5"/>
        <v>1.0006389776357829</v>
      </c>
      <c r="M61" s="32">
        <f t="shared" si="5"/>
        <v>1.0006414368184733</v>
      </c>
      <c r="N61" s="32">
        <f t="shared" si="5"/>
        <v>1.0009551098376313</v>
      </c>
      <c r="O61" s="32">
        <f t="shared" si="5"/>
        <v>1</v>
      </c>
      <c r="P61" s="32">
        <v>1</v>
      </c>
      <c r="Q61" s="58"/>
    </row>
    <row r="62" spans="1:17">
      <c r="A62" s="38" t="s">
        <v>35</v>
      </c>
      <c r="B62" s="53">
        <f t="shared" ref="B62:N62" si="6">B61*C62</f>
        <v>1.7412147908800608</v>
      </c>
      <c r="C62" s="53">
        <f t="shared" si="6"/>
        <v>1.1723345048718885</v>
      </c>
      <c r="D62" s="53">
        <f t="shared" si="6"/>
        <v>1.0959082724691764</v>
      </c>
      <c r="E62" s="53">
        <f t="shared" si="6"/>
        <v>1.0567065174735149</v>
      </c>
      <c r="F62" s="53">
        <f t="shared" si="6"/>
        <v>1.0279213035514176</v>
      </c>
      <c r="G62" s="53">
        <f t="shared" si="6"/>
        <v>1.0160478542872127</v>
      </c>
      <c r="H62" s="53">
        <f t="shared" si="6"/>
        <v>1.0108692974881421</v>
      </c>
      <c r="I62" s="53">
        <f t="shared" si="6"/>
        <v>1.0054403538926096</v>
      </c>
      <c r="J62" s="53">
        <f t="shared" si="6"/>
        <v>1.0042101680478468</v>
      </c>
      <c r="K62" s="53">
        <f t="shared" si="6"/>
        <v>1.0046466862691237</v>
      </c>
      <c r="L62" s="53">
        <f t="shared" si="6"/>
        <v>1.0022371574835756</v>
      </c>
      <c r="M62" s="53">
        <f t="shared" si="6"/>
        <v>1.0015971592987201</v>
      </c>
      <c r="N62" s="53">
        <f t="shared" si="6"/>
        <v>1.0009551098376313</v>
      </c>
      <c r="O62" s="53">
        <f>O61*P62</f>
        <v>1</v>
      </c>
      <c r="P62" s="53">
        <f>P61</f>
        <v>1</v>
      </c>
      <c r="Q62" s="58"/>
    </row>
    <row r="63" spans="1:17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</row>
    <row r="64" spans="1:17">
      <c r="B64" s="38"/>
    </row>
    <row r="108" spans="2:20" ht="45">
      <c r="S108" s="45" t="s">
        <v>128</v>
      </c>
      <c r="T108" s="250" t="str">
        <f>+A6</f>
        <v>Closed Claim Counts</v>
      </c>
    </row>
    <row r="109" spans="2:20">
      <c r="S109" s="207">
        <f>+EvalDate</f>
        <v>42735</v>
      </c>
      <c r="T109" s="3" t="s">
        <v>137</v>
      </c>
    </row>
    <row r="110" spans="2:20">
      <c r="B110" s="246">
        <v>12</v>
      </c>
      <c r="C110" s="246">
        <f>+B110+12</f>
        <v>24</v>
      </c>
      <c r="D110" s="246">
        <f>+C110+12</f>
        <v>36</v>
      </c>
      <c r="E110" s="246">
        <f t="shared" ref="E110:P110" si="7">+D110+12</f>
        <v>48</v>
      </c>
      <c r="F110" s="246">
        <f t="shared" si="7"/>
        <v>60</v>
      </c>
      <c r="G110" s="246">
        <f t="shared" si="7"/>
        <v>72</v>
      </c>
      <c r="H110" s="246">
        <f t="shared" si="7"/>
        <v>84</v>
      </c>
      <c r="I110" s="246">
        <f t="shared" si="7"/>
        <v>96</v>
      </c>
      <c r="J110" s="246">
        <f t="shared" si="7"/>
        <v>108</v>
      </c>
      <c r="K110" s="246">
        <f t="shared" si="7"/>
        <v>120</v>
      </c>
      <c r="L110" s="246">
        <f t="shared" si="7"/>
        <v>132</v>
      </c>
      <c r="M110" s="246">
        <f t="shared" si="7"/>
        <v>144</v>
      </c>
      <c r="N110" s="246">
        <f t="shared" si="7"/>
        <v>156</v>
      </c>
      <c r="O110" s="246">
        <f t="shared" si="7"/>
        <v>168</v>
      </c>
      <c r="P110" s="246">
        <f t="shared" si="7"/>
        <v>180</v>
      </c>
      <c r="Q110" s="246"/>
      <c r="R110" s="247"/>
      <c r="T110" s="247"/>
    </row>
    <row r="111" spans="2:20">
      <c r="B111" s="248">
        <f>+B62</f>
        <v>1.7412147908800608</v>
      </c>
      <c r="C111" s="248">
        <f>+C62</f>
        <v>1.1723345048718885</v>
      </c>
      <c r="D111" s="248">
        <f t="shared" ref="D111:P111" si="8">+D62</f>
        <v>1.0959082724691764</v>
      </c>
      <c r="E111" s="248">
        <f t="shared" si="8"/>
        <v>1.0567065174735149</v>
      </c>
      <c r="F111" s="248">
        <f t="shared" si="8"/>
        <v>1.0279213035514176</v>
      </c>
      <c r="G111" s="248">
        <f t="shared" si="8"/>
        <v>1.0160478542872127</v>
      </c>
      <c r="H111" s="248">
        <f t="shared" si="8"/>
        <v>1.0108692974881421</v>
      </c>
      <c r="I111" s="248">
        <f t="shared" si="8"/>
        <v>1.0054403538926096</v>
      </c>
      <c r="J111" s="248">
        <f t="shared" si="8"/>
        <v>1.0042101680478468</v>
      </c>
      <c r="K111" s="248">
        <f t="shared" si="8"/>
        <v>1.0046466862691237</v>
      </c>
      <c r="L111" s="248">
        <f t="shared" si="8"/>
        <v>1.0022371574835756</v>
      </c>
      <c r="M111" s="248">
        <f t="shared" si="8"/>
        <v>1.0015971592987201</v>
      </c>
      <c r="N111" s="248">
        <f t="shared" si="8"/>
        <v>1.0009551098376313</v>
      </c>
      <c r="O111" s="248">
        <f t="shared" si="8"/>
        <v>1</v>
      </c>
      <c r="P111" s="248">
        <f t="shared" si="8"/>
        <v>1</v>
      </c>
      <c r="Q111" s="247"/>
      <c r="R111" s="247">
        <f t="shared" ref="R111:R123" si="9">+R112+12</f>
        <v>180</v>
      </c>
      <c r="S111" s="206">
        <f>+P13</f>
        <v>522</v>
      </c>
      <c r="T111" s="249">
        <f t="shared" ref="T111:T125" si="10">+HLOOKUP(R111,$B$110:$Q$111,2,FALSE)</f>
        <v>1</v>
      </c>
    </row>
    <row r="112" spans="2:20"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>
        <f t="shared" si="9"/>
        <v>168</v>
      </c>
      <c r="S112" s="206">
        <f>+O14</f>
        <v>526</v>
      </c>
      <c r="T112" s="249">
        <f t="shared" si="10"/>
        <v>1</v>
      </c>
    </row>
    <row r="113" spans="2:20"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>
        <f t="shared" si="9"/>
        <v>156</v>
      </c>
      <c r="S113" s="206">
        <f>+N15</f>
        <v>513</v>
      </c>
      <c r="T113" s="249">
        <f t="shared" si="10"/>
        <v>1.0009551098376313</v>
      </c>
    </row>
    <row r="114" spans="2:20"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>
        <f t="shared" si="9"/>
        <v>144</v>
      </c>
      <c r="S114" s="206">
        <f>+M16</f>
        <v>529</v>
      </c>
      <c r="T114" s="249">
        <f t="shared" si="10"/>
        <v>1.0015971592987201</v>
      </c>
    </row>
    <row r="115" spans="2:20"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>
        <f t="shared" si="9"/>
        <v>132</v>
      </c>
      <c r="S115" s="206">
        <f>+L17</f>
        <v>554</v>
      </c>
      <c r="T115" s="249">
        <f t="shared" si="10"/>
        <v>1.0022371574835756</v>
      </c>
    </row>
    <row r="116" spans="2:20"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>
        <f t="shared" si="9"/>
        <v>120</v>
      </c>
      <c r="S116" s="206">
        <f>+K18</f>
        <v>433</v>
      </c>
      <c r="T116" s="249">
        <f t="shared" si="10"/>
        <v>1.0046466862691237</v>
      </c>
    </row>
    <row r="117" spans="2:20"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>
        <f t="shared" si="9"/>
        <v>108</v>
      </c>
      <c r="S117" s="206">
        <f>+J19</f>
        <v>473</v>
      </c>
      <c r="T117" s="249">
        <f t="shared" si="10"/>
        <v>1.0042101680478468</v>
      </c>
    </row>
    <row r="118" spans="2:20"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>
        <f t="shared" si="9"/>
        <v>96</v>
      </c>
      <c r="S118" s="206">
        <f>+I20</f>
        <v>497</v>
      </c>
      <c r="T118" s="249">
        <f t="shared" si="10"/>
        <v>1.0054403538926096</v>
      </c>
    </row>
    <row r="119" spans="2:20"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>
        <f t="shared" si="9"/>
        <v>84</v>
      </c>
      <c r="S119" s="206">
        <f>+H21</f>
        <v>500</v>
      </c>
      <c r="T119" s="249">
        <f t="shared" si="10"/>
        <v>1.0108692974881421</v>
      </c>
    </row>
    <row r="120" spans="2:20"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>
        <f t="shared" si="9"/>
        <v>72</v>
      </c>
      <c r="S120" s="206">
        <f>+G22</f>
        <v>445</v>
      </c>
      <c r="T120" s="249">
        <f t="shared" si="10"/>
        <v>1.0160478542872127</v>
      </c>
    </row>
    <row r="121" spans="2:20"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>
        <f t="shared" si="9"/>
        <v>60</v>
      </c>
      <c r="S121" s="206">
        <f>+F23</f>
        <v>482</v>
      </c>
      <c r="T121" s="249">
        <f t="shared" si="10"/>
        <v>1.0279213035514176</v>
      </c>
    </row>
    <row r="122" spans="2:20"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>
        <f t="shared" si="9"/>
        <v>48</v>
      </c>
      <c r="S122" s="206">
        <f>+E24</f>
        <v>452</v>
      </c>
      <c r="T122" s="249">
        <f t="shared" si="10"/>
        <v>1.0567065174735149</v>
      </c>
    </row>
    <row r="123" spans="2:20"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>
        <f t="shared" si="9"/>
        <v>36</v>
      </c>
      <c r="S123" s="206">
        <f>+D25</f>
        <v>412</v>
      </c>
      <c r="T123" s="249">
        <f t="shared" si="10"/>
        <v>1.0959082724691764</v>
      </c>
    </row>
    <row r="124" spans="2:20"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>
        <f>+R125+12</f>
        <v>24</v>
      </c>
      <c r="S124" s="206">
        <f>+C26</f>
        <v>350</v>
      </c>
      <c r="T124" s="249">
        <f t="shared" si="10"/>
        <v>1.1723345048718885</v>
      </c>
    </row>
    <row r="125" spans="2:20"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  <c r="R125" s="247">
        <v>12</v>
      </c>
      <c r="S125" s="206">
        <f>+B27</f>
        <v>218</v>
      </c>
      <c r="T125" s="249">
        <f t="shared" si="10"/>
        <v>1.7412147908800608</v>
      </c>
    </row>
  </sheetData>
  <pageMargins left="0.7" right="0.7" top="0.75" bottom="0.75" header="0.3" footer="0.3"/>
  <ignoredErrors>
    <ignoredError sqref="B54:O5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R126"/>
  <sheetViews>
    <sheetView showGridLines="0" workbookViewId="0"/>
  </sheetViews>
  <sheetFormatPr defaultRowHeight="12.75"/>
  <cols>
    <col min="1" max="2" width="13.42578125" customWidth="1"/>
    <col min="3" max="4" width="16.28515625" customWidth="1"/>
    <col min="5" max="5" width="14.140625" customWidth="1"/>
    <col min="6" max="6" width="18.5703125" customWidth="1"/>
    <col min="7" max="7" width="18.42578125" customWidth="1"/>
    <col min="8" max="8" width="17.28515625" customWidth="1"/>
    <col min="9" max="9" width="17.28515625" style="237" customWidth="1"/>
    <col min="10" max="11" width="10" customWidth="1"/>
    <col min="12" max="12" width="13.42578125" customWidth="1"/>
    <col min="13" max="13" width="15.7109375" customWidth="1"/>
    <col min="14" max="14" width="18.5703125" customWidth="1"/>
    <col min="15" max="15" width="9.5703125" customWidth="1"/>
    <col min="16" max="18" width="18.5703125" customWidth="1"/>
  </cols>
  <sheetData>
    <row r="1" spans="1:18" ht="15.75">
      <c r="A1" s="203" t="s">
        <v>0</v>
      </c>
      <c r="B1" s="73"/>
      <c r="C1" s="73"/>
      <c r="K1" s="203" t="s">
        <v>0</v>
      </c>
      <c r="L1" s="73"/>
      <c r="M1" s="73"/>
    </row>
    <row r="2" spans="1:18" ht="15.75">
      <c r="A2" s="204" t="str">
        <f>+"Analysis of Loss &amp; DCC Reserves as of "&amp;TEXT(EvalDate,"mm/dd/yyy")</f>
        <v>Analysis of Loss &amp; DCC Reserves as of 12/31/2016</v>
      </c>
      <c r="B2" s="73"/>
      <c r="C2" s="73"/>
      <c r="K2" s="204" t="str">
        <f>+"Analysis of Loss &amp; DCC Reserves as of "&amp;TEXT(EvalDate,"mm/dd/yyy")</f>
        <v>Analysis of Loss &amp; DCC Reserves as of 12/31/2016</v>
      </c>
      <c r="L2" s="73"/>
      <c r="M2" s="73"/>
    </row>
    <row r="3" spans="1:18" ht="15.75">
      <c r="A3" s="205" t="str">
        <f>+LOB</f>
        <v>Liability</v>
      </c>
      <c r="B3" s="73"/>
      <c r="C3" s="73"/>
      <c r="K3" s="205" t="str">
        <f>+LOB</f>
        <v>Liability</v>
      </c>
      <c r="L3" s="73"/>
      <c r="M3" s="73"/>
    </row>
    <row r="5" spans="1:18" ht="15.75">
      <c r="A5" s="104" t="s">
        <v>67</v>
      </c>
      <c r="B5" s="73"/>
      <c r="C5" s="73"/>
      <c r="K5" s="104" t="s">
        <v>66</v>
      </c>
      <c r="L5" s="73"/>
      <c r="M5" s="73"/>
    </row>
    <row r="6" spans="1:18" ht="15.75">
      <c r="A6" s="73"/>
      <c r="B6" s="73"/>
      <c r="C6" s="73"/>
      <c r="K6" s="73"/>
      <c r="L6" s="73"/>
      <c r="M6" s="73"/>
    </row>
    <row r="7" spans="1:18" ht="15.75">
      <c r="A7" s="73"/>
      <c r="B7" s="73"/>
      <c r="C7" s="73"/>
      <c r="K7" s="73"/>
      <c r="L7" s="73"/>
      <c r="M7" s="73"/>
    </row>
    <row r="8" spans="1:18" ht="15.75">
      <c r="A8" s="73"/>
      <c r="B8" s="73"/>
      <c r="C8" s="73"/>
      <c r="K8" s="73"/>
      <c r="L8" s="73"/>
      <c r="M8" s="73"/>
    </row>
    <row r="9" spans="1:18" ht="15.75">
      <c r="A9" s="73"/>
      <c r="B9" s="74"/>
      <c r="C9" s="74"/>
      <c r="D9" s="75"/>
      <c r="E9" s="76"/>
      <c r="F9" s="76"/>
      <c r="G9" s="76"/>
      <c r="H9" s="76"/>
      <c r="I9" s="238"/>
      <c r="K9" s="73"/>
      <c r="L9" s="74"/>
      <c r="M9" s="74"/>
      <c r="N9" s="75"/>
      <c r="O9" s="76"/>
      <c r="P9" s="76"/>
      <c r="Q9" s="76"/>
      <c r="R9" s="76"/>
    </row>
    <row r="10" spans="1:18" ht="15.75">
      <c r="A10" s="73"/>
      <c r="B10" s="78" t="s">
        <v>45</v>
      </c>
      <c r="C10" s="79" t="s">
        <v>46</v>
      </c>
      <c r="D10" s="79" t="s">
        <v>47</v>
      </c>
      <c r="E10" s="79" t="s">
        <v>48</v>
      </c>
      <c r="F10" s="79" t="s">
        <v>49</v>
      </c>
      <c r="G10" s="79" t="s">
        <v>50</v>
      </c>
      <c r="H10" s="79" t="s">
        <v>51</v>
      </c>
      <c r="I10" s="239"/>
      <c r="K10" s="73"/>
      <c r="L10" s="78" t="s">
        <v>45</v>
      </c>
      <c r="M10" s="79" t="s">
        <v>46</v>
      </c>
      <c r="N10" s="79" t="s">
        <v>47</v>
      </c>
      <c r="O10" s="79" t="s">
        <v>48</v>
      </c>
      <c r="P10" s="79" t="s">
        <v>49</v>
      </c>
      <c r="Q10" s="79" t="s">
        <v>50</v>
      </c>
      <c r="R10" s="79" t="s">
        <v>51</v>
      </c>
    </row>
    <row r="11" spans="1:18" ht="15.75">
      <c r="A11" s="40"/>
      <c r="B11" s="81"/>
      <c r="C11" s="81"/>
      <c r="D11" s="82"/>
      <c r="E11" s="83"/>
      <c r="F11" s="84" t="s">
        <v>54</v>
      </c>
      <c r="G11" s="76"/>
      <c r="H11" s="76"/>
      <c r="I11" s="238"/>
      <c r="K11" s="40"/>
      <c r="L11" s="81"/>
      <c r="M11" s="81"/>
      <c r="N11" s="82"/>
      <c r="O11" s="83"/>
      <c r="P11" s="84" t="s">
        <v>54</v>
      </c>
      <c r="Q11" s="76"/>
      <c r="R11" s="76"/>
    </row>
    <row r="12" spans="1:18" ht="15.75">
      <c r="A12" s="46"/>
      <c r="B12" s="85"/>
      <c r="C12" s="85"/>
      <c r="D12" s="86"/>
      <c r="E12" s="83"/>
      <c r="F12" s="78" t="s">
        <v>73</v>
      </c>
      <c r="G12" s="83"/>
      <c r="H12" s="83" t="s">
        <v>54</v>
      </c>
      <c r="I12" s="238"/>
      <c r="K12" s="46"/>
      <c r="L12" s="85"/>
      <c r="M12" s="85"/>
      <c r="N12" s="86"/>
      <c r="O12" s="83"/>
      <c r="P12" s="78" t="s">
        <v>73</v>
      </c>
      <c r="Q12" s="83"/>
      <c r="R12" s="83" t="s">
        <v>54</v>
      </c>
    </row>
    <row r="13" spans="1:18" ht="15.75">
      <c r="A13" s="46"/>
      <c r="B13" s="85"/>
      <c r="C13" s="85"/>
      <c r="D13" s="86"/>
      <c r="E13" s="83"/>
      <c r="F13" s="78" t="s">
        <v>2</v>
      </c>
      <c r="G13" s="83" t="s">
        <v>54</v>
      </c>
      <c r="H13" s="83" t="s">
        <v>73</v>
      </c>
      <c r="I13" s="238"/>
      <c r="K13" s="46"/>
      <c r="L13" s="85"/>
      <c r="M13" s="85"/>
      <c r="N13" s="86"/>
      <c r="O13" s="83"/>
      <c r="P13" s="78" t="s">
        <v>159</v>
      </c>
      <c r="Q13" s="83" t="s">
        <v>54</v>
      </c>
      <c r="R13" s="83" t="s">
        <v>73</v>
      </c>
    </row>
    <row r="14" spans="1:18" ht="15.75">
      <c r="A14" s="46" t="s">
        <v>3</v>
      </c>
      <c r="B14" s="85"/>
      <c r="C14" s="86" t="s">
        <v>143</v>
      </c>
      <c r="D14" s="86" t="s">
        <v>52</v>
      </c>
      <c r="E14" s="83" t="s">
        <v>52</v>
      </c>
      <c r="F14" s="83" t="s">
        <v>55</v>
      </c>
      <c r="G14" s="83" t="s">
        <v>56</v>
      </c>
      <c r="H14" s="83" t="s">
        <v>53</v>
      </c>
      <c r="I14" s="238"/>
      <c r="K14" s="46" t="s">
        <v>3</v>
      </c>
      <c r="L14" s="85"/>
      <c r="M14" s="86" t="s">
        <v>143</v>
      </c>
      <c r="N14" s="86" t="s">
        <v>64</v>
      </c>
      <c r="O14" s="86" t="s">
        <v>64</v>
      </c>
      <c r="P14" s="83" t="s">
        <v>55</v>
      </c>
      <c r="Q14" s="83" t="s">
        <v>56</v>
      </c>
      <c r="R14" s="83" t="s">
        <v>53</v>
      </c>
    </row>
    <row r="15" spans="1:18" ht="15.75">
      <c r="A15" s="87" t="s">
        <v>5</v>
      </c>
      <c r="B15" s="88" t="s">
        <v>57</v>
      </c>
      <c r="C15" s="87" t="s">
        <v>58</v>
      </c>
      <c r="D15" s="87" t="s">
        <v>53</v>
      </c>
      <c r="E15" s="87" t="s">
        <v>59</v>
      </c>
      <c r="F15" s="87" t="s">
        <v>60</v>
      </c>
      <c r="G15" s="87" t="s">
        <v>61</v>
      </c>
      <c r="H15" s="87" t="s">
        <v>62</v>
      </c>
      <c r="I15" s="238"/>
      <c r="K15" s="87" t="s">
        <v>5</v>
      </c>
      <c r="L15" s="88" t="s">
        <v>57</v>
      </c>
      <c r="M15" s="87" t="s">
        <v>58</v>
      </c>
      <c r="N15" s="87" t="s">
        <v>53</v>
      </c>
      <c r="O15" s="87" t="s">
        <v>59</v>
      </c>
      <c r="P15" s="87" t="s">
        <v>60</v>
      </c>
      <c r="Q15" s="79" t="s">
        <v>65</v>
      </c>
      <c r="R15" s="87" t="s">
        <v>62</v>
      </c>
    </row>
    <row r="16" spans="1:18">
      <c r="A16" s="89"/>
      <c r="B16" s="110"/>
      <c r="C16" s="89"/>
      <c r="D16" s="90"/>
      <c r="E16" s="90"/>
      <c r="F16" s="90"/>
      <c r="G16" s="90"/>
      <c r="H16" s="90"/>
      <c r="I16" s="240"/>
      <c r="K16" s="89"/>
      <c r="L16" s="110"/>
      <c r="M16" s="89"/>
      <c r="N16" s="90"/>
      <c r="O16" s="90"/>
      <c r="P16" s="90"/>
      <c r="Q16" s="90"/>
      <c r="R16" s="90"/>
    </row>
    <row r="17" spans="1:18">
      <c r="A17" s="89">
        <f t="shared" ref="A17:A29" si="0">+A18-1</f>
        <v>2002</v>
      </c>
      <c r="B17" s="265"/>
      <c r="C17" s="94">
        <f>+'Input Data'!C14</f>
        <v>6953372</v>
      </c>
      <c r="D17" s="234"/>
      <c r="E17" s="267"/>
      <c r="F17" s="268"/>
      <c r="G17" s="268"/>
      <c r="H17" s="269"/>
      <c r="I17" s="241"/>
      <c r="K17" s="89">
        <f t="shared" ref="K17:K29" si="1">+K18-1</f>
        <v>2002</v>
      </c>
      <c r="L17" s="265"/>
      <c r="M17" s="94">
        <f>+C17</f>
        <v>6953372</v>
      </c>
      <c r="N17" s="234"/>
      <c r="O17" s="267"/>
      <c r="P17" s="268"/>
      <c r="Q17" s="268"/>
      <c r="R17" s="269"/>
    </row>
    <row r="18" spans="1:18">
      <c r="A18" s="89">
        <f t="shared" si="0"/>
        <v>2003</v>
      </c>
      <c r="B18" s="265"/>
      <c r="C18" s="94">
        <f>+'Input Data'!C15</f>
        <v>6567116</v>
      </c>
      <c r="D18" s="234"/>
      <c r="E18" s="267"/>
      <c r="F18" s="268"/>
      <c r="G18" s="268"/>
      <c r="H18" s="269"/>
      <c r="I18" s="241"/>
      <c r="K18" s="89">
        <f t="shared" si="1"/>
        <v>2003</v>
      </c>
      <c r="L18" s="265"/>
      <c r="M18" s="94">
        <f t="shared" ref="M18:M31" si="2">+C18</f>
        <v>6567116</v>
      </c>
      <c r="N18" s="234"/>
      <c r="O18" s="267"/>
      <c r="P18" s="268"/>
      <c r="Q18" s="268"/>
      <c r="R18" s="269"/>
    </row>
    <row r="19" spans="1:18">
      <c r="A19" s="89">
        <f t="shared" si="0"/>
        <v>2004</v>
      </c>
      <c r="B19" s="265"/>
      <c r="C19" s="94">
        <f>+'Input Data'!C16</f>
        <v>6690146</v>
      </c>
      <c r="D19" s="234"/>
      <c r="E19" s="267"/>
      <c r="F19" s="268"/>
      <c r="G19" s="268"/>
      <c r="H19" s="269"/>
      <c r="I19" s="241"/>
      <c r="K19" s="89">
        <f t="shared" si="1"/>
        <v>2004</v>
      </c>
      <c r="L19" s="265"/>
      <c r="M19" s="94">
        <f t="shared" si="2"/>
        <v>6690146</v>
      </c>
      <c r="N19" s="234"/>
      <c r="O19" s="267"/>
      <c r="P19" s="268"/>
      <c r="Q19" s="268"/>
      <c r="R19" s="269"/>
    </row>
    <row r="20" spans="1:18">
      <c r="A20" s="89">
        <f t="shared" si="0"/>
        <v>2005</v>
      </c>
      <c r="B20" s="265"/>
      <c r="C20" s="94">
        <f>+'Input Data'!C17</f>
        <v>7103262.0000000009</v>
      </c>
      <c r="D20" s="234"/>
      <c r="E20" s="267"/>
      <c r="F20" s="268"/>
      <c r="G20" s="268"/>
      <c r="H20" s="269"/>
      <c r="I20" s="241"/>
      <c r="K20" s="89">
        <f t="shared" si="1"/>
        <v>2005</v>
      </c>
      <c r="L20" s="265"/>
      <c r="M20" s="94">
        <f t="shared" si="2"/>
        <v>7103262.0000000009</v>
      </c>
      <c r="N20" s="234"/>
      <c r="O20" s="267"/>
      <c r="P20" s="268"/>
      <c r="Q20" s="268"/>
      <c r="R20" s="269"/>
    </row>
    <row r="21" spans="1:18">
      <c r="A21" s="89">
        <f t="shared" si="0"/>
        <v>2006</v>
      </c>
      <c r="B21" s="265"/>
      <c r="C21" s="94">
        <f>+'Input Data'!C18</f>
        <v>7959030</v>
      </c>
      <c r="D21" s="234"/>
      <c r="E21" s="267"/>
      <c r="F21" s="268"/>
      <c r="G21" s="268"/>
      <c r="H21" s="269"/>
      <c r="I21" s="241"/>
      <c r="K21" s="89">
        <f t="shared" si="1"/>
        <v>2006</v>
      </c>
      <c r="L21" s="265"/>
      <c r="M21" s="94">
        <f t="shared" si="2"/>
        <v>7959030</v>
      </c>
      <c r="N21" s="234"/>
      <c r="O21" s="267"/>
      <c r="P21" s="268"/>
      <c r="Q21" s="268"/>
      <c r="R21" s="269"/>
    </row>
    <row r="22" spans="1:18">
      <c r="A22" s="89">
        <f t="shared" si="0"/>
        <v>2007</v>
      </c>
      <c r="B22" s="265"/>
      <c r="C22" s="94">
        <f>+'Input Data'!C19</f>
        <v>9363418</v>
      </c>
      <c r="D22" s="234"/>
      <c r="E22" s="267"/>
      <c r="F22" s="268"/>
      <c r="G22" s="268"/>
      <c r="H22" s="269"/>
      <c r="I22" s="241"/>
      <c r="J22" s="103"/>
      <c r="K22" s="89">
        <f t="shared" si="1"/>
        <v>2007</v>
      </c>
      <c r="L22" s="265"/>
      <c r="M22" s="94">
        <f t="shared" si="2"/>
        <v>9363418</v>
      </c>
      <c r="N22" s="234"/>
      <c r="O22" s="267"/>
      <c r="P22" s="268"/>
      <c r="Q22" s="268"/>
      <c r="R22" s="269"/>
    </row>
    <row r="23" spans="1:18">
      <c r="A23" s="89">
        <f t="shared" si="0"/>
        <v>2008</v>
      </c>
      <c r="B23" s="265"/>
      <c r="C23" s="94">
        <f>+'Input Data'!C20</f>
        <v>10597562</v>
      </c>
      <c r="D23" s="234"/>
      <c r="E23" s="267"/>
      <c r="F23" s="268"/>
      <c r="G23" s="268"/>
      <c r="H23" s="269"/>
      <c r="I23" s="241"/>
      <c r="K23" s="89">
        <f t="shared" si="1"/>
        <v>2008</v>
      </c>
      <c r="L23" s="265"/>
      <c r="M23" s="94">
        <f t="shared" si="2"/>
        <v>10597562</v>
      </c>
      <c r="N23" s="234"/>
      <c r="O23" s="267"/>
      <c r="P23" s="268"/>
      <c r="Q23" s="268"/>
      <c r="R23" s="269"/>
    </row>
    <row r="24" spans="1:18">
      <c r="A24" s="89">
        <f t="shared" si="0"/>
        <v>2009</v>
      </c>
      <c r="B24" s="265"/>
      <c r="C24" s="94">
        <f>+'Input Data'!C21</f>
        <v>11036360</v>
      </c>
      <c r="D24" s="234"/>
      <c r="E24" s="267"/>
      <c r="F24" s="268"/>
      <c r="G24" s="268"/>
      <c r="H24" s="269"/>
      <c r="I24" s="241"/>
      <c r="K24" s="89">
        <f t="shared" si="1"/>
        <v>2009</v>
      </c>
      <c r="L24" s="265"/>
      <c r="M24" s="94">
        <f t="shared" si="2"/>
        <v>11036360</v>
      </c>
      <c r="N24" s="234"/>
      <c r="O24" s="267"/>
      <c r="P24" s="268"/>
      <c r="Q24" s="268"/>
      <c r="R24" s="269"/>
    </row>
    <row r="25" spans="1:18">
      <c r="A25" s="89">
        <f t="shared" si="0"/>
        <v>2010</v>
      </c>
      <c r="B25" s="265"/>
      <c r="C25" s="94">
        <f>+'Input Data'!C22</f>
        <v>11402928</v>
      </c>
      <c r="D25" s="234"/>
      <c r="E25" s="267"/>
      <c r="F25" s="268"/>
      <c r="G25" s="268"/>
      <c r="H25" s="269"/>
      <c r="I25" s="241"/>
      <c r="K25" s="89">
        <f t="shared" si="1"/>
        <v>2010</v>
      </c>
      <c r="L25" s="265"/>
      <c r="M25" s="94">
        <f t="shared" si="2"/>
        <v>11402928</v>
      </c>
      <c r="N25" s="234"/>
      <c r="O25" s="267"/>
      <c r="P25" s="268"/>
      <c r="Q25" s="268"/>
      <c r="R25" s="269"/>
    </row>
    <row r="26" spans="1:18">
      <c r="A26" s="89">
        <f t="shared" si="0"/>
        <v>2011</v>
      </c>
      <c r="B26" s="265"/>
      <c r="C26" s="94">
        <f>+'Input Data'!C23</f>
        <v>11099580</v>
      </c>
      <c r="D26" s="234"/>
      <c r="E26" s="267"/>
      <c r="F26" s="268"/>
      <c r="G26" s="268"/>
      <c r="H26" s="269"/>
      <c r="I26" s="241"/>
      <c r="K26" s="89">
        <f t="shared" si="1"/>
        <v>2011</v>
      </c>
      <c r="L26" s="265"/>
      <c r="M26" s="94">
        <f t="shared" si="2"/>
        <v>11099580</v>
      </c>
      <c r="N26" s="234"/>
      <c r="O26" s="267"/>
      <c r="P26" s="268"/>
      <c r="Q26" s="268"/>
      <c r="R26" s="269"/>
    </row>
    <row r="27" spans="1:18">
      <c r="A27" s="89">
        <f t="shared" si="0"/>
        <v>2012</v>
      </c>
      <c r="B27" s="265"/>
      <c r="C27" s="94">
        <f>+'Input Data'!C24</f>
        <v>10683363</v>
      </c>
      <c r="D27" s="234"/>
      <c r="E27" s="267"/>
      <c r="F27" s="268"/>
      <c r="G27" s="268"/>
      <c r="H27" s="269"/>
      <c r="I27" s="241"/>
      <c r="K27" s="89">
        <f t="shared" si="1"/>
        <v>2012</v>
      </c>
      <c r="L27" s="265"/>
      <c r="M27" s="94">
        <f t="shared" si="2"/>
        <v>10683363</v>
      </c>
      <c r="N27" s="234"/>
      <c r="O27" s="267"/>
      <c r="P27" s="268"/>
      <c r="Q27" s="268"/>
      <c r="R27" s="269"/>
    </row>
    <row r="28" spans="1:18">
      <c r="A28" s="89">
        <f t="shared" si="0"/>
        <v>2013</v>
      </c>
      <c r="B28" s="265"/>
      <c r="C28" s="94">
        <f>+'Input Data'!C25</f>
        <v>10430225</v>
      </c>
      <c r="D28" s="234"/>
      <c r="E28" s="267"/>
      <c r="F28" s="268"/>
      <c r="G28" s="268"/>
      <c r="H28" s="269"/>
      <c r="I28" s="241"/>
      <c r="K28" s="89">
        <f t="shared" si="1"/>
        <v>2013</v>
      </c>
      <c r="L28" s="265"/>
      <c r="M28" s="94">
        <f t="shared" si="2"/>
        <v>10430225</v>
      </c>
      <c r="N28" s="234"/>
      <c r="O28" s="267"/>
      <c r="P28" s="268"/>
      <c r="Q28" s="268"/>
      <c r="R28" s="269"/>
    </row>
    <row r="29" spans="1:18">
      <c r="A29" s="89">
        <f t="shared" si="0"/>
        <v>2014</v>
      </c>
      <c r="B29" s="265"/>
      <c r="C29" s="94">
        <f>+'Input Data'!C26</f>
        <v>10106327</v>
      </c>
      <c r="D29" s="234"/>
      <c r="E29" s="267"/>
      <c r="F29" s="268"/>
      <c r="G29" s="268"/>
      <c r="H29" s="269"/>
      <c r="I29" s="241"/>
      <c r="K29" s="89">
        <f t="shared" si="1"/>
        <v>2014</v>
      </c>
      <c r="L29" s="265"/>
      <c r="M29" s="94">
        <f t="shared" si="2"/>
        <v>10106327</v>
      </c>
      <c r="N29" s="234"/>
      <c r="O29" s="267"/>
      <c r="P29" s="268"/>
      <c r="Q29" s="268"/>
      <c r="R29" s="269"/>
    </row>
    <row r="30" spans="1:18">
      <c r="A30" s="89">
        <f>+A31-1</f>
        <v>2015</v>
      </c>
      <c r="B30" s="265"/>
      <c r="C30" s="94">
        <f>+'Input Data'!C27</f>
        <v>9889744</v>
      </c>
      <c r="D30" s="234"/>
      <c r="E30" s="267"/>
      <c r="F30" s="268"/>
      <c r="G30" s="268"/>
      <c r="H30" s="269"/>
      <c r="I30" s="241"/>
      <c r="K30" s="89">
        <f>+K31-1</f>
        <v>2015</v>
      </c>
      <c r="L30" s="265"/>
      <c r="M30" s="94">
        <f t="shared" si="2"/>
        <v>9889744</v>
      </c>
      <c r="N30" s="234"/>
      <c r="O30" s="267"/>
      <c r="P30" s="268"/>
      <c r="Q30" s="268"/>
      <c r="R30" s="269"/>
    </row>
    <row r="31" spans="1:18">
      <c r="A31" s="89">
        <f>+EndYear</f>
        <v>2016</v>
      </c>
      <c r="B31" s="265"/>
      <c r="C31" s="94">
        <f>+'Input Data'!C28</f>
        <v>9998035.5</v>
      </c>
      <c r="D31" s="234"/>
      <c r="E31" s="267"/>
      <c r="F31" s="268"/>
      <c r="G31" s="268"/>
      <c r="H31" s="269"/>
      <c r="I31" s="241"/>
      <c r="K31" s="89">
        <f>+EndYear</f>
        <v>2016</v>
      </c>
      <c r="L31" s="265"/>
      <c r="M31" s="94">
        <f t="shared" si="2"/>
        <v>9998035.5</v>
      </c>
      <c r="N31" s="234"/>
      <c r="O31" s="267"/>
      <c r="P31" s="268"/>
      <c r="Q31" s="268"/>
      <c r="R31" s="269"/>
    </row>
    <row r="32" spans="1:18">
      <c r="A32" s="89"/>
      <c r="B32" s="266"/>
      <c r="C32" s="89"/>
      <c r="D32" s="95"/>
      <c r="E32" s="171"/>
      <c r="F32" s="107"/>
      <c r="G32" s="107"/>
      <c r="H32" s="270"/>
      <c r="I32" s="242"/>
      <c r="K32" s="89"/>
      <c r="L32" s="266"/>
      <c r="M32" s="89"/>
      <c r="N32" s="95"/>
      <c r="O32" s="171"/>
      <c r="P32" s="107"/>
      <c r="Q32" s="107"/>
      <c r="R32" s="270"/>
    </row>
    <row r="33" spans="1:18">
      <c r="A33" s="97" t="s">
        <v>63</v>
      </c>
      <c r="B33" s="236"/>
      <c r="C33" s="98">
        <f>SUM(C17:C31)</f>
        <v>139880468.5</v>
      </c>
      <c r="D33" s="102">
        <f>SUM(D17:D31)</f>
        <v>0</v>
      </c>
      <c r="E33" s="102">
        <f t="shared" ref="E33:G33" si="3">SUM(E17:E31)</f>
        <v>0</v>
      </c>
      <c r="F33" s="102">
        <f t="shared" si="3"/>
        <v>0</v>
      </c>
      <c r="G33" s="102">
        <f t="shared" si="3"/>
        <v>0</v>
      </c>
      <c r="H33" s="330">
        <f>+F33/C33</f>
        <v>0</v>
      </c>
      <c r="I33" s="243"/>
      <c r="K33" s="97" t="s">
        <v>63</v>
      </c>
      <c r="L33" s="236"/>
      <c r="M33" s="98">
        <f>SUM(M17:M31)</f>
        <v>139880468.5</v>
      </c>
      <c r="N33" s="102">
        <f>SUM(N17:N31)</f>
        <v>0</v>
      </c>
      <c r="O33" s="102">
        <f t="shared" ref="O33:Q33" si="4">SUM(O17:O31)</f>
        <v>0</v>
      </c>
      <c r="P33" s="102">
        <f t="shared" si="4"/>
        <v>0</v>
      </c>
      <c r="Q33" s="102">
        <f t="shared" si="4"/>
        <v>0</v>
      </c>
      <c r="R33" s="253">
        <f>+P33/M33</f>
        <v>0</v>
      </c>
    </row>
    <row r="34" spans="1:18">
      <c r="F34" s="109"/>
      <c r="G34" s="109"/>
      <c r="H34" s="254"/>
    </row>
    <row r="35" spans="1:18" ht="15.75">
      <c r="A35" s="100"/>
      <c r="B35" s="100"/>
      <c r="C35" s="100"/>
      <c r="F35" s="109"/>
      <c r="G35" s="109"/>
      <c r="H35" s="254"/>
    </row>
    <row r="36" spans="1:18" ht="15.75">
      <c r="A36" s="101"/>
      <c r="B36" s="101"/>
      <c r="C36" s="101"/>
      <c r="F36" s="109"/>
      <c r="G36" s="109"/>
      <c r="H36" s="254"/>
    </row>
    <row r="37" spans="1:18">
      <c r="H37" s="254"/>
    </row>
    <row r="38" spans="1:18">
      <c r="H38" s="254"/>
    </row>
    <row r="39" spans="1:18">
      <c r="H39" s="254"/>
    </row>
    <row r="40" spans="1:18">
      <c r="H40" s="254"/>
    </row>
    <row r="41" spans="1:18">
      <c r="H41" s="254"/>
    </row>
    <row r="42" spans="1:18">
      <c r="H42" s="254"/>
    </row>
    <row r="43" spans="1:18">
      <c r="H43" s="254"/>
    </row>
    <row r="44" spans="1:18">
      <c r="H44" s="254"/>
    </row>
    <row r="45" spans="1:18">
      <c r="H45" s="254"/>
    </row>
    <row r="46" spans="1:18">
      <c r="H46" s="254"/>
    </row>
    <row r="47" spans="1:18">
      <c r="H47" s="254"/>
    </row>
    <row r="48" spans="1:18">
      <c r="H48" s="254"/>
    </row>
    <row r="49" spans="8:8">
      <c r="H49" s="254"/>
    </row>
    <row r="50" spans="8:8">
      <c r="H50" s="254"/>
    </row>
    <row r="51" spans="8:8">
      <c r="H51" s="254"/>
    </row>
    <row r="52" spans="8:8">
      <c r="H52" s="254"/>
    </row>
    <row r="53" spans="8:8">
      <c r="H53" s="254"/>
    </row>
    <row r="54" spans="8:8">
      <c r="H54" s="254"/>
    </row>
    <row r="55" spans="8:8">
      <c r="H55" s="254"/>
    </row>
    <row r="56" spans="8:8">
      <c r="H56" s="254"/>
    </row>
    <row r="57" spans="8:8">
      <c r="H57" s="254"/>
    </row>
    <row r="58" spans="8:8">
      <c r="H58" s="254"/>
    </row>
    <row r="59" spans="8:8">
      <c r="H59" s="254"/>
    </row>
    <row r="60" spans="8:8">
      <c r="H60" s="254"/>
    </row>
    <row r="61" spans="8:8">
      <c r="H61" s="254"/>
    </row>
    <row r="62" spans="8:8">
      <c r="H62" s="254"/>
    </row>
    <row r="63" spans="8:8">
      <c r="H63" s="254"/>
    </row>
    <row r="64" spans="8:8">
      <c r="H64" s="254"/>
    </row>
    <row r="65" spans="8:8">
      <c r="H65" s="254"/>
    </row>
    <row r="66" spans="8:8">
      <c r="H66" s="254"/>
    </row>
    <row r="67" spans="8:8">
      <c r="H67" s="254"/>
    </row>
    <row r="68" spans="8:8">
      <c r="H68" s="254"/>
    </row>
    <row r="69" spans="8:8">
      <c r="H69" s="254"/>
    </row>
    <row r="70" spans="8:8">
      <c r="H70" s="254"/>
    </row>
    <row r="71" spans="8:8">
      <c r="H71" s="254"/>
    </row>
    <row r="72" spans="8:8">
      <c r="H72" s="254"/>
    </row>
    <row r="73" spans="8:8">
      <c r="H73" s="254"/>
    </row>
    <row r="74" spans="8:8">
      <c r="H74" s="254"/>
    </row>
    <row r="75" spans="8:8">
      <c r="H75" s="254"/>
    </row>
    <row r="76" spans="8:8">
      <c r="H76" s="254"/>
    </row>
    <row r="77" spans="8:8">
      <c r="H77" s="254"/>
    </row>
    <row r="78" spans="8:8">
      <c r="H78" s="254"/>
    </row>
    <row r="79" spans="8:8">
      <c r="H79" s="254"/>
    </row>
    <row r="80" spans="8:8">
      <c r="H80" s="254"/>
    </row>
    <row r="81" spans="8:8">
      <c r="H81" s="254"/>
    </row>
    <row r="82" spans="8:8">
      <c r="H82" s="254"/>
    </row>
    <row r="83" spans="8:8">
      <c r="H83" s="254"/>
    </row>
    <row r="84" spans="8:8">
      <c r="H84" s="254"/>
    </row>
    <row r="85" spans="8:8">
      <c r="H85" s="254"/>
    </row>
    <row r="86" spans="8:8">
      <c r="H86" s="254"/>
    </row>
    <row r="87" spans="8:8">
      <c r="H87" s="254"/>
    </row>
    <row r="88" spans="8:8">
      <c r="H88" s="254"/>
    </row>
    <row r="89" spans="8:8">
      <c r="H89" s="254"/>
    </row>
    <row r="90" spans="8:8">
      <c r="H90" s="254"/>
    </row>
    <row r="91" spans="8:8">
      <c r="H91" s="254"/>
    </row>
    <row r="92" spans="8:8">
      <c r="H92" s="254"/>
    </row>
    <row r="93" spans="8:8">
      <c r="H93" s="254"/>
    </row>
    <row r="94" spans="8:8">
      <c r="H94" s="254"/>
    </row>
    <row r="95" spans="8:8">
      <c r="H95" s="254"/>
    </row>
    <row r="96" spans="8:8">
      <c r="H96" s="254"/>
    </row>
    <row r="97" spans="2:8">
      <c r="H97" s="254"/>
    </row>
    <row r="98" spans="2:8">
      <c r="H98" s="254"/>
    </row>
    <row r="99" spans="2:8">
      <c r="H99" s="254"/>
    </row>
    <row r="100" spans="2:8">
      <c r="H100" s="254"/>
    </row>
    <row r="101" spans="2:8">
      <c r="H101" s="254"/>
    </row>
    <row r="102" spans="2:8">
      <c r="H102" s="254"/>
    </row>
    <row r="103" spans="2:8">
      <c r="H103" s="254"/>
    </row>
    <row r="104" spans="2:8">
      <c r="H104" s="254"/>
    </row>
    <row r="105" spans="2:8">
      <c r="H105" s="254"/>
    </row>
    <row r="106" spans="2:8">
      <c r="H106" s="254"/>
    </row>
    <row r="107" spans="2:8">
      <c r="H107" s="254"/>
    </row>
    <row r="108" spans="2:8">
      <c r="H108" s="254"/>
    </row>
    <row r="109" spans="2:8">
      <c r="H109" s="254"/>
    </row>
    <row r="110" spans="2:8">
      <c r="B110">
        <f t="shared" ref="B110:B122" si="5">+B111+12</f>
        <v>180</v>
      </c>
      <c r="C110" s="103">
        <f>+'Input Data'!C14</f>
        <v>6953372</v>
      </c>
      <c r="D110" s="109">
        <f>+'Exercise 6 - Paid LDFs'!S108</f>
        <v>4066336.3900369992</v>
      </c>
      <c r="E110" s="244">
        <f>+'Exercise 6 - Paid LDFs'!T108</f>
        <v>1</v>
      </c>
      <c r="F110" s="109">
        <f>+D110*E110</f>
        <v>4066336.3900369992</v>
      </c>
      <c r="G110" s="103">
        <f>+F110-D110</f>
        <v>0</v>
      </c>
      <c r="H110" s="255">
        <f t="shared" ref="H110:H124" si="6">+F110/C17</f>
        <v>0.58480063917722214</v>
      </c>
    </row>
    <row r="111" spans="2:8">
      <c r="B111">
        <f t="shared" si="5"/>
        <v>168</v>
      </c>
      <c r="C111" s="103">
        <f>+'Input Data'!C15</f>
        <v>6567116</v>
      </c>
      <c r="D111" s="109">
        <f>+'Exercise 6 - Paid LDFs'!S109</f>
        <v>3271028.46</v>
      </c>
      <c r="E111" s="244">
        <f>+'Exercise 6 - Paid LDFs'!T109</f>
        <v>1</v>
      </c>
      <c r="F111" s="109">
        <f t="shared" ref="F111:F124" si="7">+D111*E111</f>
        <v>3271028.46</v>
      </c>
      <c r="G111" s="103">
        <f t="shared" ref="G111:G124" si="8">+F111-D111</f>
        <v>0</v>
      </c>
      <c r="H111" s="255">
        <f t="shared" si="6"/>
        <v>0.49809207877552336</v>
      </c>
    </row>
    <row r="112" spans="2:8">
      <c r="B112">
        <f t="shared" si="5"/>
        <v>156</v>
      </c>
      <c r="C112" s="103">
        <f>+'Input Data'!C16</f>
        <v>6690146</v>
      </c>
      <c r="D112" s="109">
        <f>+'Exercise 6 - Paid LDFs'!S110</f>
        <v>4586913</v>
      </c>
      <c r="E112" s="244">
        <f>+'Exercise 6 - Paid LDFs'!T110</f>
        <v>1</v>
      </c>
      <c r="F112" s="109">
        <f t="shared" si="7"/>
        <v>4586913</v>
      </c>
      <c r="G112" s="103">
        <f t="shared" si="8"/>
        <v>0</v>
      </c>
      <c r="H112" s="255">
        <f t="shared" si="6"/>
        <v>0.68562225697316626</v>
      </c>
    </row>
    <row r="113" spans="2:8">
      <c r="B113">
        <f t="shared" si="5"/>
        <v>144</v>
      </c>
      <c r="C113" s="103">
        <f>+'Input Data'!C17</f>
        <v>7103262.0000000009</v>
      </c>
      <c r="D113" s="109">
        <f>+'Exercise 6 - Paid LDFs'!S111</f>
        <v>4556737.22</v>
      </c>
      <c r="E113" s="244">
        <f>+'Exercise 6 - Paid LDFs'!T111</f>
        <v>1</v>
      </c>
      <c r="F113" s="109">
        <f t="shared" si="7"/>
        <v>4556737.22</v>
      </c>
      <c r="G113" s="103">
        <f t="shared" si="8"/>
        <v>0</v>
      </c>
      <c r="H113" s="255">
        <f t="shared" si="6"/>
        <v>0.64149924640256817</v>
      </c>
    </row>
    <row r="114" spans="2:8">
      <c r="B114">
        <f t="shared" si="5"/>
        <v>132</v>
      </c>
      <c r="C114" s="103">
        <f>+'Input Data'!C18</f>
        <v>7959030</v>
      </c>
      <c r="D114" s="109">
        <f>+'Exercise 6 - Paid LDFs'!S112</f>
        <v>4357830.49</v>
      </c>
      <c r="E114" s="244">
        <f>+'Exercise 6 - Paid LDFs'!T112</f>
        <v>1</v>
      </c>
      <c r="F114" s="109">
        <f t="shared" si="7"/>
        <v>4357830.49</v>
      </c>
      <c r="G114" s="103">
        <f t="shared" si="8"/>
        <v>0</v>
      </c>
      <c r="H114" s="255">
        <f t="shared" si="6"/>
        <v>0.54753286392939848</v>
      </c>
    </row>
    <row r="115" spans="2:8">
      <c r="B115">
        <f t="shared" si="5"/>
        <v>120</v>
      </c>
      <c r="C115" s="103">
        <f>+'Input Data'!C19</f>
        <v>9363418</v>
      </c>
      <c r="D115" s="109">
        <f>+'Exercise 6 - Paid LDFs'!S113</f>
        <v>3174352.51</v>
      </c>
      <c r="E115" s="244">
        <f>+'Exercise 6 - Paid LDFs'!T113</f>
        <v>1.1000000000000001</v>
      </c>
      <c r="F115" s="109">
        <f t="shared" si="7"/>
        <v>3491787.7609999999</v>
      </c>
      <c r="G115" s="103">
        <f t="shared" si="8"/>
        <v>317435.25100000016</v>
      </c>
      <c r="H115" s="255">
        <f t="shared" si="6"/>
        <v>0.37291806912817521</v>
      </c>
    </row>
    <row r="116" spans="2:8">
      <c r="B116">
        <f t="shared" si="5"/>
        <v>108</v>
      </c>
      <c r="C116" s="103">
        <f>+'Input Data'!C20</f>
        <v>10597562</v>
      </c>
      <c r="D116" s="109">
        <f>+'Exercise 6 - Paid LDFs'!S114</f>
        <v>2329891</v>
      </c>
      <c r="E116" s="244">
        <f>+'Exercise 6 - Paid LDFs'!T114</f>
        <v>1.1330000000000002</v>
      </c>
      <c r="F116" s="109">
        <f t="shared" si="7"/>
        <v>2639766.5030000005</v>
      </c>
      <c r="G116" s="103">
        <f t="shared" si="8"/>
        <v>309875.50300000049</v>
      </c>
      <c r="H116" s="255">
        <f t="shared" si="6"/>
        <v>0.24909186688410037</v>
      </c>
    </row>
    <row r="117" spans="2:8">
      <c r="B117">
        <f t="shared" si="5"/>
        <v>96</v>
      </c>
      <c r="C117" s="103">
        <f>+'Input Data'!C21</f>
        <v>11036360</v>
      </c>
      <c r="D117" s="109">
        <f>+'Exercise 6 - Paid LDFs'!S115</f>
        <v>2463991.9700000002</v>
      </c>
      <c r="E117" s="244">
        <f>+'Exercise 6 - Paid LDFs'!T115</f>
        <v>1.1681230000000002</v>
      </c>
      <c r="F117" s="109">
        <f t="shared" si="7"/>
        <v>2878245.6919723107</v>
      </c>
      <c r="G117" s="103">
        <f t="shared" si="8"/>
        <v>414253.72197231045</v>
      </c>
      <c r="H117" s="255">
        <f t="shared" si="6"/>
        <v>0.26079664780528278</v>
      </c>
    </row>
    <row r="118" spans="2:8">
      <c r="B118">
        <f t="shared" si="5"/>
        <v>84</v>
      </c>
      <c r="C118" s="103">
        <f>+'Input Data'!C22</f>
        <v>11402928</v>
      </c>
      <c r="D118" s="109">
        <f>+'Exercise 6 - Paid LDFs'!S116</f>
        <v>3156139.46</v>
      </c>
      <c r="E118" s="244">
        <f>+'Exercise 6 - Paid LDFs'!T116</f>
        <v>1.2241929040000004</v>
      </c>
      <c r="F118" s="109">
        <f t="shared" si="7"/>
        <v>3863723.5309663927</v>
      </c>
      <c r="G118" s="103">
        <f t="shared" si="8"/>
        <v>707584.07096639276</v>
      </c>
      <c r="H118" s="255">
        <f t="shared" si="6"/>
        <v>0.33883608937690324</v>
      </c>
    </row>
    <row r="119" spans="2:8">
      <c r="B119">
        <f t="shared" si="5"/>
        <v>72</v>
      </c>
      <c r="C119" s="103">
        <f>+'Input Data'!C23</f>
        <v>11099580</v>
      </c>
      <c r="D119" s="109">
        <f>+'Exercise 6 - Paid LDFs'!S117</f>
        <v>6907218</v>
      </c>
      <c r="E119" s="244">
        <f>+'Exercise 6 - Paid LDFs'!T117</f>
        <v>1.3245767221280005</v>
      </c>
      <c r="F119" s="109">
        <f t="shared" si="7"/>
        <v>9149140.177463524</v>
      </c>
      <c r="G119" s="103">
        <f t="shared" si="8"/>
        <v>2241922.177463524</v>
      </c>
      <c r="H119" s="255">
        <f t="shared" si="6"/>
        <v>0.82427805173380653</v>
      </c>
    </row>
    <row r="120" spans="2:8">
      <c r="B120">
        <f t="shared" si="5"/>
        <v>60</v>
      </c>
      <c r="C120" s="103">
        <f>+'Input Data'!C24</f>
        <v>10683363</v>
      </c>
      <c r="D120" s="109">
        <f>+'Exercise 6 - Paid LDFs'!S118</f>
        <v>4132680</v>
      </c>
      <c r="E120" s="244">
        <f>+'Exercise 6 - Paid LDFs'!T118</f>
        <v>1.4742538917284644</v>
      </c>
      <c r="F120" s="109">
        <f t="shared" si="7"/>
        <v>6092619.5732683903</v>
      </c>
      <c r="G120" s="103">
        <f t="shared" si="8"/>
        <v>1959939.5732683903</v>
      </c>
      <c r="H120" s="255">
        <f t="shared" si="6"/>
        <v>0.57029042009228648</v>
      </c>
    </row>
    <row r="121" spans="2:8">
      <c r="B121">
        <f t="shared" si="5"/>
        <v>48</v>
      </c>
      <c r="C121" s="103">
        <f>+'Input Data'!C25</f>
        <v>10430225</v>
      </c>
      <c r="D121" s="109">
        <f>+'Exercise 6 - Paid LDFs'!S119</f>
        <v>1766812.92</v>
      </c>
      <c r="E121" s="244">
        <f>+'Exercise 6 - Paid LDFs'!T119</f>
        <v>1.7941669862335414</v>
      </c>
      <c r="F121" s="109">
        <f t="shared" si="7"/>
        <v>3169957.4119148832</v>
      </c>
      <c r="G121" s="103">
        <f t="shared" si="8"/>
        <v>1403144.4919148833</v>
      </c>
      <c r="H121" s="255">
        <f t="shared" si="6"/>
        <v>0.30392032884380571</v>
      </c>
    </row>
    <row r="122" spans="2:8">
      <c r="B122">
        <f t="shared" si="5"/>
        <v>36</v>
      </c>
      <c r="C122" s="103">
        <f>+'Input Data'!C26</f>
        <v>10106327</v>
      </c>
      <c r="D122" s="109">
        <f>+'Exercise 6 - Paid LDFs'!S120</f>
        <v>1655619</v>
      </c>
      <c r="E122" s="244">
        <f>+'Exercise 6 - Paid LDFs'!T120</f>
        <v>2.4221254314152811</v>
      </c>
      <c r="F122" s="109">
        <f t="shared" si="7"/>
        <v>4010116.8846343365</v>
      </c>
      <c r="G122" s="103">
        <f t="shared" si="8"/>
        <v>2354497.8846343365</v>
      </c>
      <c r="H122" s="255">
        <f t="shared" si="6"/>
        <v>0.39679271060933774</v>
      </c>
    </row>
    <row r="123" spans="2:8">
      <c r="B123">
        <f>+B124+12</f>
        <v>24</v>
      </c>
      <c r="C123" s="103">
        <f>+'Input Data'!C27</f>
        <v>9889744</v>
      </c>
      <c r="D123" s="109">
        <f>+'Exercise 6 - Paid LDFs'!S121</f>
        <v>629188</v>
      </c>
      <c r="E123" s="244">
        <f>+'Exercise 6 - Paid LDFs'!T121</f>
        <v>3.8390688087932205</v>
      </c>
      <c r="F123" s="109">
        <f t="shared" si="7"/>
        <v>2415496.0256669889</v>
      </c>
      <c r="G123" s="103">
        <f t="shared" si="8"/>
        <v>1786308.0256669889</v>
      </c>
      <c r="H123" s="255">
        <f t="shared" si="6"/>
        <v>0.24424252292748821</v>
      </c>
    </row>
    <row r="124" spans="2:8">
      <c r="B124">
        <v>12</v>
      </c>
      <c r="C124" s="103">
        <f>+'Input Data'!C28</f>
        <v>9998035.5</v>
      </c>
      <c r="D124" s="109">
        <f>+'Exercise 6 - Paid LDFs'!S122</f>
        <v>383397</v>
      </c>
      <c r="E124" s="244">
        <f>+'Exercise 6 - Paid LDFs'!T122</f>
        <v>7.6205515854545434</v>
      </c>
      <c r="F124" s="109">
        <f t="shared" si="7"/>
        <v>2921696.6162085156</v>
      </c>
      <c r="G124" s="103">
        <f t="shared" si="8"/>
        <v>2538299.6162085156</v>
      </c>
      <c r="H124" s="255">
        <f t="shared" si="6"/>
        <v>0.29222706962868011</v>
      </c>
    </row>
    <row r="126" spans="2:8">
      <c r="C126" s="103">
        <f>SUM(C110:C125)</f>
        <v>139880468.5</v>
      </c>
      <c r="D126" s="103">
        <f>SUM(D110:D125)</f>
        <v>47438135.420037001</v>
      </c>
      <c r="F126" s="103">
        <f>SUM(F110:F125)</f>
        <v>61471395.736132346</v>
      </c>
      <c r="G126" s="103">
        <f>SUM(G110:G125)</f>
        <v>14033260.316095343</v>
      </c>
      <c r="H126" s="255">
        <f>+F126/C33</f>
        <v>0.43945660459474617</v>
      </c>
    </row>
  </sheetData>
  <conditionalFormatting sqref="I17:I31">
    <cfRule type="cellIs" dxfId="81" priority="25" stopIfTrue="1" operator="notEqual">
      <formula>P17</formula>
    </cfRule>
  </conditionalFormatting>
  <conditionalFormatting sqref="B17:B33">
    <cfRule type="cellIs" dxfId="80" priority="22" operator="notEqual">
      <formula>B110</formula>
    </cfRule>
  </conditionalFormatting>
  <conditionalFormatting sqref="D17:D31">
    <cfRule type="cellIs" dxfId="79" priority="17" operator="notEqual">
      <formula>D110</formula>
    </cfRule>
  </conditionalFormatting>
  <conditionalFormatting sqref="E17:G31">
    <cfRule type="cellIs" dxfId="78" priority="16" operator="notEqual">
      <formula>E110</formula>
    </cfRule>
  </conditionalFormatting>
  <conditionalFormatting sqref="H17:H31">
    <cfRule type="cellIs" dxfId="77" priority="15" operator="notEqual">
      <formula>H110</formula>
    </cfRule>
  </conditionalFormatting>
  <conditionalFormatting sqref="D33">
    <cfRule type="cellIs" dxfId="75" priority="13" operator="notEqual">
      <formula>D126</formula>
    </cfRule>
  </conditionalFormatting>
  <conditionalFormatting sqref="F33:G33">
    <cfRule type="cellIs" dxfId="74" priority="12" operator="notEqual">
      <formula>F126</formula>
    </cfRule>
  </conditionalFormatting>
  <conditionalFormatting sqref="L17:L33">
    <cfRule type="cellIs" dxfId="36" priority="11" operator="notEqual">
      <formula>L110</formula>
    </cfRule>
  </conditionalFormatting>
  <conditionalFormatting sqref="N17:N31">
    <cfRule type="cellIs" dxfId="35" priority="10" operator="notEqual">
      <formula>N110</formula>
    </cfRule>
  </conditionalFormatting>
  <conditionalFormatting sqref="O17:Q31">
    <cfRule type="cellIs" dxfId="34" priority="9" operator="notEqual">
      <formula>O110</formula>
    </cfRule>
  </conditionalFormatting>
  <conditionalFormatting sqref="R17:R31">
    <cfRule type="cellIs" dxfId="33" priority="8" operator="notEqual">
      <formula>R110</formula>
    </cfRule>
  </conditionalFormatting>
  <conditionalFormatting sqref="R33">
    <cfRule type="cellIs" dxfId="32" priority="7" operator="notEqual">
      <formula>R126</formula>
    </cfRule>
  </conditionalFormatting>
  <conditionalFormatting sqref="N33:Q33">
    <cfRule type="cellIs" dxfId="31" priority="6" operator="notEqual">
      <formula>N126</formula>
    </cfRule>
  </conditionalFormatting>
  <conditionalFormatting sqref="P33:Q33">
    <cfRule type="cellIs" dxfId="30" priority="5" operator="notEqual">
      <formula>P126</formula>
    </cfRule>
  </conditionalFormatting>
  <conditionalFormatting sqref="D33:G33">
    <cfRule type="cellIs" dxfId="27" priority="2" operator="notEqual">
      <formula>D126</formula>
    </cfRule>
  </conditionalFormatting>
  <conditionalFormatting sqref="F33:G33">
    <cfRule type="cellIs" dxfId="26" priority="1" operator="notEqual">
      <formula>F126</formula>
    </cfRule>
  </conditionalFormatting>
  <pageMargins left="0.7" right="0.7" top="0.75" bottom="0.75" header="0.3" footer="0.3"/>
  <pageSetup orientation="portrait" horizontalDpi="1200" verticalDpi="1200" r:id="rId1"/>
  <ignoredErrors>
    <ignoredError sqref="B10:H10 L10:R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126"/>
  <sheetViews>
    <sheetView showGridLines="0" workbookViewId="0"/>
  </sheetViews>
  <sheetFormatPr defaultRowHeight="12.75"/>
  <cols>
    <col min="1" max="2" width="13.42578125" customWidth="1"/>
    <col min="3" max="4" width="16.28515625" customWidth="1"/>
    <col min="5" max="5" width="14.140625" customWidth="1"/>
    <col min="6" max="6" width="18.5703125" customWidth="1"/>
    <col min="7" max="7" width="18.42578125" customWidth="1"/>
    <col min="8" max="8" width="17.28515625" customWidth="1"/>
    <col min="9" max="9" width="0.7109375" style="237" customWidth="1"/>
    <col min="10" max="13" width="10" customWidth="1"/>
    <col min="14" max="14" width="14.140625" customWidth="1"/>
    <col min="15" max="15" width="8.85546875" customWidth="1"/>
  </cols>
  <sheetData>
    <row r="1" spans="1:9" ht="15.75">
      <c r="A1" s="203" t="s">
        <v>0</v>
      </c>
      <c r="B1" s="73"/>
      <c r="C1" s="73"/>
    </row>
    <row r="2" spans="1:9" ht="15.75">
      <c r="A2" s="204" t="str">
        <f>+"Analysis of Loss &amp; DCC Reserves as of "&amp;TEXT(EvalDate,"mm/dd/yyy")</f>
        <v>Analysis of Loss &amp; DCC Reserves as of 12/31/2016</v>
      </c>
      <c r="B2" s="73"/>
      <c r="C2" s="73"/>
    </row>
    <row r="3" spans="1:9" ht="15.75">
      <c r="A3" s="205" t="str">
        <f>+LOB</f>
        <v>Liability</v>
      </c>
      <c r="B3" s="73"/>
      <c r="C3" s="73"/>
    </row>
    <row r="5" spans="1:9" ht="15.75">
      <c r="A5" s="104" t="s">
        <v>67</v>
      </c>
      <c r="B5" s="73"/>
      <c r="C5" s="73"/>
    </row>
    <row r="6" spans="1:9" ht="15.75">
      <c r="A6" s="73"/>
      <c r="B6" s="73"/>
      <c r="C6" s="73"/>
    </row>
    <row r="7" spans="1:9" ht="15.75">
      <c r="A7" s="73"/>
      <c r="B7" s="73"/>
      <c r="C7" s="73"/>
    </row>
    <row r="8" spans="1:9" ht="15.75">
      <c r="A8" s="73"/>
      <c r="B8" s="73"/>
      <c r="C8" s="73"/>
    </row>
    <row r="9" spans="1:9" ht="15.75">
      <c r="A9" s="73"/>
      <c r="B9" s="74"/>
      <c r="C9" s="74"/>
      <c r="D9" s="75"/>
      <c r="E9" s="76"/>
      <c r="F9" s="76"/>
      <c r="G9" s="76"/>
      <c r="H9" s="76"/>
      <c r="I9" s="238"/>
    </row>
    <row r="10" spans="1:9" ht="15.75">
      <c r="A10" s="73"/>
      <c r="B10" s="78" t="s">
        <v>45</v>
      </c>
      <c r="C10" s="79" t="s">
        <v>46</v>
      </c>
      <c r="D10" s="79" t="s">
        <v>47</v>
      </c>
      <c r="E10" s="79" t="s">
        <v>48</v>
      </c>
      <c r="F10" s="79" t="s">
        <v>49</v>
      </c>
      <c r="G10" s="79" t="s">
        <v>50</v>
      </c>
      <c r="H10" s="79" t="s">
        <v>51</v>
      </c>
      <c r="I10" s="239"/>
    </row>
    <row r="11" spans="1:9" ht="15.75">
      <c r="A11" s="40"/>
      <c r="B11" s="81"/>
      <c r="C11" s="81"/>
      <c r="D11" s="82"/>
      <c r="E11" s="83"/>
      <c r="F11" s="84" t="s">
        <v>54</v>
      </c>
      <c r="G11" s="76"/>
      <c r="H11" s="76"/>
      <c r="I11" s="238"/>
    </row>
    <row r="12" spans="1:9" ht="15.75">
      <c r="A12" s="46"/>
      <c r="B12" s="85"/>
      <c r="C12" s="85"/>
      <c r="D12" s="86"/>
      <c r="E12" s="83"/>
      <c r="F12" s="78" t="s">
        <v>73</v>
      </c>
      <c r="G12" s="83"/>
      <c r="H12" s="83" t="s">
        <v>54</v>
      </c>
      <c r="I12" s="238"/>
    </row>
    <row r="13" spans="1:9" ht="15.75">
      <c r="A13" s="46"/>
      <c r="B13" s="85"/>
      <c r="C13" s="85"/>
      <c r="D13" s="86"/>
      <c r="E13" s="83"/>
      <c r="F13" s="78" t="s">
        <v>2</v>
      </c>
      <c r="G13" s="83" t="s">
        <v>54</v>
      </c>
      <c r="H13" s="83" t="s">
        <v>73</v>
      </c>
      <c r="I13" s="238"/>
    </row>
    <row r="14" spans="1:9" ht="15.75">
      <c r="A14" s="46" t="s">
        <v>3</v>
      </c>
      <c r="B14" s="85"/>
      <c r="C14" s="86" t="s">
        <v>143</v>
      </c>
      <c r="D14" s="86" t="s">
        <v>52</v>
      </c>
      <c r="E14" s="83" t="s">
        <v>52</v>
      </c>
      <c r="F14" s="83" t="s">
        <v>55</v>
      </c>
      <c r="G14" s="83" t="s">
        <v>56</v>
      </c>
      <c r="H14" s="83" t="s">
        <v>53</v>
      </c>
      <c r="I14" s="238"/>
    </row>
    <row r="15" spans="1:9" ht="15.75">
      <c r="A15" s="87" t="s">
        <v>5</v>
      </c>
      <c r="B15" s="88" t="s">
        <v>57</v>
      </c>
      <c r="C15" s="87" t="s">
        <v>58</v>
      </c>
      <c r="D15" s="87" t="s">
        <v>53</v>
      </c>
      <c r="E15" s="87" t="s">
        <v>59</v>
      </c>
      <c r="F15" s="87" t="s">
        <v>60</v>
      </c>
      <c r="G15" s="87" t="s">
        <v>61</v>
      </c>
      <c r="H15" s="87" t="s">
        <v>62</v>
      </c>
      <c r="I15" s="238"/>
    </row>
    <row r="16" spans="1:9">
      <c r="A16" s="89"/>
      <c r="B16" s="110"/>
      <c r="C16" s="89"/>
      <c r="D16" s="90"/>
      <c r="E16" s="90"/>
      <c r="F16" s="90"/>
      <c r="G16" s="90"/>
      <c r="H16" s="90"/>
      <c r="I16" s="240"/>
    </row>
    <row r="17" spans="1:10">
      <c r="A17" s="89">
        <f t="shared" ref="A17:A29" si="0">+A18-1</f>
        <v>2002</v>
      </c>
      <c r="B17" s="325">
        <f t="shared" ref="B17:B29" si="1">+B18+12</f>
        <v>180</v>
      </c>
      <c r="C17" s="94">
        <f>+'Input Data'!C14</f>
        <v>6953372</v>
      </c>
      <c r="D17" s="326">
        <f>+D110</f>
        <v>4066336.3900369992</v>
      </c>
      <c r="E17" s="327">
        <f>+E110</f>
        <v>1</v>
      </c>
      <c r="F17" s="328">
        <f t="shared" ref="F17:H31" si="2">+F110</f>
        <v>4066336.3900369992</v>
      </c>
      <c r="G17" s="328">
        <f t="shared" si="2"/>
        <v>0</v>
      </c>
      <c r="H17" s="329">
        <f t="shared" si="2"/>
        <v>0.58480063917722214</v>
      </c>
      <c r="I17" s="241"/>
    </row>
    <row r="18" spans="1:10">
      <c r="A18" s="89">
        <f t="shared" si="0"/>
        <v>2003</v>
      </c>
      <c r="B18" s="325">
        <f t="shared" si="1"/>
        <v>168</v>
      </c>
      <c r="C18" s="94">
        <f>+'Input Data'!C15</f>
        <v>6567116</v>
      </c>
      <c r="D18" s="326">
        <f>+D111</f>
        <v>3271028.46</v>
      </c>
      <c r="E18" s="327">
        <f>+E111</f>
        <v>1</v>
      </c>
      <c r="F18" s="328">
        <f t="shared" si="2"/>
        <v>3271028.46</v>
      </c>
      <c r="G18" s="328">
        <f t="shared" si="2"/>
        <v>0</v>
      </c>
      <c r="H18" s="329">
        <f t="shared" si="2"/>
        <v>0.49809207877552336</v>
      </c>
      <c r="I18" s="241"/>
    </row>
    <row r="19" spans="1:10">
      <c r="A19" s="89">
        <f t="shared" si="0"/>
        <v>2004</v>
      </c>
      <c r="B19" s="325">
        <f t="shared" si="1"/>
        <v>156</v>
      </c>
      <c r="C19" s="94">
        <f>+'Input Data'!C16</f>
        <v>6690146</v>
      </c>
      <c r="D19" s="326">
        <f t="shared" ref="D19:H33" si="3">+D112</f>
        <v>4586913</v>
      </c>
      <c r="E19" s="327">
        <f t="shared" si="3"/>
        <v>1</v>
      </c>
      <c r="F19" s="328">
        <f t="shared" si="3"/>
        <v>4586913</v>
      </c>
      <c r="G19" s="328">
        <f t="shared" si="2"/>
        <v>0</v>
      </c>
      <c r="H19" s="329">
        <f t="shared" si="2"/>
        <v>0.68562225697316626</v>
      </c>
      <c r="I19" s="241"/>
    </row>
    <row r="20" spans="1:10">
      <c r="A20" s="89">
        <f t="shared" si="0"/>
        <v>2005</v>
      </c>
      <c r="B20" s="325">
        <f t="shared" si="1"/>
        <v>144</v>
      </c>
      <c r="C20" s="94">
        <f>+'Input Data'!C17</f>
        <v>7103262.0000000009</v>
      </c>
      <c r="D20" s="326">
        <f t="shared" si="3"/>
        <v>4556737.22</v>
      </c>
      <c r="E20" s="327">
        <f t="shared" si="3"/>
        <v>1</v>
      </c>
      <c r="F20" s="328">
        <f t="shared" si="3"/>
        <v>4556737.22</v>
      </c>
      <c r="G20" s="328">
        <f t="shared" si="2"/>
        <v>0</v>
      </c>
      <c r="H20" s="329">
        <f t="shared" si="2"/>
        <v>0.64149924640256817</v>
      </c>
      <c r="I20" s="241"/>
    </row>
    <row r="21" spans="1:10">
      <c r="A21" s="89">
        <f t="shared" si="0"/>
        <v>2006</v>
      </c>
      <c r="B21" s="325">
        <f t="shared" si="1"/>
        <v>132</v>
      </c>
      <c r="C21" s="94">
        <f>+'Input Data'!C18</f>
        <v>7959030</v>
      </c>
      <c r="D21" s="326">
        <f t="shared" si="3"/>
        <v>4357830.49</v>
      </c>
      <c r="E21" s="327">
        <f t="shared" si="3"/>
        <v>1</v>
      </c>
      <c r="F21" s="328">
        <f t="shared" si="3"/>
        <v>4357830.49</v>
      </c>
      <c r="G21" s="328">
        <f t="shared" si="2"/>
        <v>0</v>
      </c>
      <c r="H21" s="329">
        <f t="shared" si="2"/>
        <v>0.54753286392939848</v>
      </c>
      <c r="I21" s="241"/>
    </row>
    <row r="22" spans="1:10">
      <c r="A22" s="89">
        <f t="shared" si="0"/>
        <v>2007</v>
      </c>
      <c r="B22" s="325">
        <f t="shared" si="1"/>
        <v>120</v>
      </c>
      <c r="C22" s="94">
        <f>+'Input Data'!C19</f>
        <v>9363418</v>
      </c>
      <c r="D22" s="326">
        <f t="shared" si="3"/>
        <v>3174352.51</v>
      </c>
      <c r="E22" s="327">
        <f t="shared" si="3"/>
        <v>1.1000000000000001</v>
      </c>
      <c r="F22" s="328">
        <f t="shared" si="3"/>
        <v>3491787.7609999999</v>
      </c>
      <c r="G22" s="328">
        <f t="shared" si="2"/>
        <v>317435.25100000016</v>
      </c>
      <c r="H22" s="329">
        <f t="shared" si="2"/>
        <v>0.37291806912817521</v>
      </c>
      <c r="I22" s="241"/>
      <c r="J22" s="103"/>
    </row>
    <row r="23" spans="1:10">
      <c r="A23" s="89">
        <f t="shared" si="0"/>
        <v>2008</v>
      </c>
      <c r="B23" s="325">
        <f t="shared" si="1"/>
        <v>108</v>
      </c>
      <c r="C23" s="94">
        <f>+'Input Data'!C20</f>
        <v>10597562</v>
      </c>
      <c r="D23" s="326">
        <f t="shared" si="3"/>
        <v>2329891</v>
      </c>
      <c r="E23" s="327">
        <f t="shared" si="3"/>
        <v>1.1330000000000002</v>
      </c>
      <c r="F23" s="328">
        <f t="shared" si="3"/>
        <v>2639766.5030000005</v>
      </c>
      <c r="G23" s="328">
        <f t="shared" si="2"/>
        <v>309875.50300000049</v>
      </c>
      <c r="H23" s="329">
        <f t="shared" si="2"/>
        <v>0.24909186688410037</v>
      </c>
      <c r="I23" s="241"/>
    </row>
    <row r="24" spans="1:10">
      <c r="A24" s="89">
        <f t="shared" si="0"/>
        <v>2009</v>
      </c>
      <c r="B24" s="325">
        <f t="shared" si="1"/>
        <v>96</v>
      </c>
      <c r="C24" s="94">
        <f>+'Input Data'!C21</f>
        <v>11036360</v>
      </c>
      <c r="D24" s="326">
        <f t="shared" si="3"/>
        <v>2463991.9700000002</v>
      </c>
      <c r="E24" s="327">
        <f t="shared" si="3"/>
        <v>1.1681230000000002</v>
      </c>
      <c r="F24" s="328">
        <f t="shared" si="3"/>
        <v>2878245.6919723107</v>
      </c>
      <c r="G24" s="328">
        <f t="shared" si="2"/>
        <v>414253.72197231045</v>
      </c>
      <c r="H24" s="329">
        <f t="shared" si="2"/>
        <v>0.26079664780528278</v>
      </c>
      <c r="I24" s="241"/>
    </row>
    <row r="25" spans="1:10">
      <c r="A25" s="89">
        <f t="shared" si="0"/>
        <v>2010</v>
      </c>
      <c r="B25" s="325">
        <f t="shared" si="1"/>
        <v>84</v>
      </c>
      <c r="C25" s="94">
        <f>+'Input Data'!C22</f>
        <v>11402928</v>
      </c>
      <c r="D25" s="326">
        <f t="shared" si="3"/>
        <v>3156139.46</v>
      </c>
      <c r="E25" s="327">
        <f t="shared" si="3"/>
        <v>1.2241929040000004</v>
      </c>
      <c r="F25" s="328">
        <f t="shared" si="3"/>
        <v>3863723.5309663927</v>
      </c>
      <c r="G25" s="328">
        <f t="shared" si="2"/>
        <v>707584.07096639276</v>
      </c>
      <c r="H25" s="329">
        <f t="shared" si="2"/>
        <v>0.33883608937690324</v>
      </c>
      <c r="I25" s="241"/>
    </row>
    <row r="26" spans="1:10">
      <c r="A26" s="89">
        <f t="shared" si="0"/>
        <v>2011</v>
      </c>
      <c r="B26" s="325">
        <f t="shared" si="1"/>
        <v>72</v>
      </c>
      <c r="C26" s="94">
        <f>+'Input Data'!C23</f>
        <v>11099580</v>
      </c>
      <c r="D26" s="326">
        <f t="shared" si="3"/>
        <v>6907218</v>
      </c>
      <c r="E26" s="327">
        <f t="shared" si="3"/>
        <v>1.3245767221280005</v>
      </c>
      <c r="F26" s="328">
        <f t="shared" si="3"/>
        <v>9149140.177463524</v>
      </c>
      <c r="G26" s="328">
        <f t="shared" si="2"/>
        <v>2241922.177463524</v>
      </c>
      <c r="H26" s="329">
        <f t="shared" si="2"/>
        <v>0.82427805173380653</v>
      </c>
      <c r="I26" s="241"/>
    </row>
    <row r="27" spans="1:10">
      <c r="A27" s="89">
        <f t="shared" si="0"/>
        <v>2012</v>
      </c>
      <c r="B27" s="325">
        <f t="shared" si="1"/>
        <v>60</v>
      </c>
      <c r="C27" s="94">
        <f>+'Input Data'!C24</f>
        <v>10683363</v>
      </c>
      <c r="D27" s="326">
        <f t="shared" si="3"/>
        <v>4132680</v>
      </c>
      <c r="E27" s="327">
        <f t="shared" si="3"/>
        <v>1.4742538917284644</v>
      </c>
      <c r="F27" s="328">
        <f t="shared" si="3"/>
        <v>6092619.5732683903</v>
      </c>
      <c r="G27" s="328">
        <f t="shared" si="2"/>
        <v>1959939.5732683903</v>
      </c>
      <c r="H27" s="329">
        <f t="shared" si="2"/>
        <v>0.57029042009228648</v>
      </c>
      <c r="I27" s="241"/>
    </row>
    <row r="28" spans="1:10">
      <c r="A28" s="89">
        <f t="shared" si="0"/>
        <v>2013</v>
      </c>
      <c r="B28" s="325">
        <f t="shared" si="1"/>
        <v>48</v>
      </c>
      <c r="C28" s="94">
        <f>+'Input Data'!C25</f>
        <v>10430225</v>
      </c>
      <c r="D28" s="326">
        <f t="shared" si="3"/>
        <v>1766812.92</v>
      </c>
      <c r="E28" s="327">
        <f t="shared" si="3"/>
        <v>1.7941669862335414</v>
      </c>
      <c r="F28" s="328">
        <f t="shared" si="3"/>
        <v>3169957.4119148832</v>
      </c>
      <c r="G28" s="328">
        <f t="shared" si="2"/>
        <v>1403144.4919148833</v>
      </c>
      <c r="H28" s="329">
        <f t="shared" si="2"/>
        <v>0.30392032884380571</v>
      </c>
      <c r="I28" s="241"/>
    </row>
    <row r="29" spans="1:10">
      <c r="A29" s="89">
        <f t="shared" si="0"/>
        <v>2014</v>
      </c>
      <c r="B29" s="325">
        <f t="shared" si="1"/>
        <v>36</v>
      </c>
      <c r="C29" s="94">
        <f>+'Input Data'!C26</f>
        <v>10106327</v>
      </c>
      <c r="D29" s="326">
        <f t="shared" si="3"/>
        <v>1655619</v>
      </c>
      <c r="E29" s="327">
        <f t="shared" si="3"/>
        <v>2.4221254314152811</v>
      </c>
      <c r="F29" s="328">
        <f t="shared" si="3"/>
        <v>4010116.8846343365</v>
      </c>
      <c r="G29" s="328">
        <f t="shared" si="2"/>
        <v>2354497.8846343365</v>
      </c>
      <c r="H29" s="329">
        <f t="shared" si="2"/>
        <v>0.39679271060933774</v>
      </c>
      <c r="I29" s="241"/>
    </row>
    <row r="30" spans="1:10">
      <c r="A30" s="89">
        <f>+A31-1</f>
        <v>2015</v>
      </c>
      <c r="B30" s="325">
        <f>+B31+12</f>
        <v>24</v>
      </c>
      <c r="C30" s="94">
        <f>+'Input Data'!C27</f>
        <v>9889744</v>
      </c>
      <c r="D30" s="326">
        <f t="shared" si="3"/>
        <v>629188</v>
      </c>
      <c r="E30" s="327">
        <f t="shared" si="3"/>
        <v>3.8390688087932205</v>
      </c>
      <c r="F30" s="328">
        <f t="shared" si="3"/>
        <v>2415496.0256669889</v>
      </c>
      <c r="G30" s="328">
        <f t="shared" si="2"/>
        <v>1786308.0256669889</v>
      </c>
      <c r="H30" s="329">
        <f t="shared" si="2"/>
        <v>0.24424252292748821</v>
      </c>
      <c r="I30" s="241"/>
    </row>
    <row r="31" spans="1:10">
      <c r="A31" s="89">
        <f>+EndYear</f>
        <v>2016</v>
      </c>
      <c r="B31" s="325">
        <v>12</v>
      </c>
      <c r="C31" s="94">
        <f>+'Input Data'!C28</f>
        <v>9998035.5</v>
      </c>
      <c r="D31" s="326">
        <f t="shared" si="3"/>
        <v>383397</v>
      </c>
      <c r="E31" s="327">
        <f t="shared" si="3"/>
        <v>7.6205515854545434</v>
      </c>
      <c r="F31" s="328">
        <f t="shared" si="3"/>
        <v>2921696.6162085156</v>
      </c>
      <c r="G31" s="328">
        <f t="shared" si="2"/>
        <v>2538299.6162085156</v>
      </c>
      <c r="H31" s="329">
        <f t="shared" si="2"/>
        <v>0.29222706962868011</v>
      </c>
      <c r="I31" s="241"/>
    </row>
    <row r="32" spans="1:10">
      <c r="A32" s="89"/>
      <c r="B32" s="266"/>
      <c r="C32" s="89"/>
      <c r="D32" s="95"/>
      <c r="E32" s="171"/>
      <c r="F32" s="107"/>
      <c r="G32" s="107"/>
      <c r="H32" s="270"/>
      <c r="I32" s="242"/>
    </row>
    <row r="33" spans="1:9">
      <c r="A33" s="97" t="s">
        <v>63</v>
      </c>
      <c r="B33" s="236"/>
      <c r="C33" s="98">
        <f>SUM(C17:C31)</f>
        <v>139880468.5</v>
      </c>
      <c r="D33" s="102">
        <f t="shared" si="3"/>
        <v>47438135.420037001</v>
      </c>
      <c r="E33" s="236"/>
      <c r="F33" s="252">
        <f t="shared" si="3"/>
        <v>61471395.736132346</v>
      </c>
      <c r="G33" s="252">
        <f t="shared" si="3"/>
        <v>14033260.316095343</v>
      </c>
      <c r="H33" s="253">
        <f t="shared" si="3"/>
        <v>0.43945660459474617</v>
      </c>
      <c r="I33" s="243"/>
    </row>
    <row r="34" spans="1:9">
      <c r="F34" s="109"/>
      <c r="G34" s="109"/>
      <c r="H34" s="254"/>
    </row>
    <row r="35" spans="1:9" ht="15.75">
      <c r="A35" s="100"/>
      <c r="B35" s="100"/>
      <c r="C35" s="100"/>
      <c r="F35" s="109"/>
      <c r="G35" s="109"/>
      <c r="H35" s="254"/>
    </row>
    <row r="36" spans="1:9" ht="15.75">
      <c r="A36" s="101"/>
      <c r="B36" s="101"/>
      <c r="C36" s="101"/>
      <c r="F36" s="109"/>
      <c r="G36" s="109"/>
      <c r="H36" s="254"/>
    </row>
    <row r="37" spans="1:9">
      <c r="H37" s="254"/>
    </row>
    <row r="38" spans="1:9">
      <c r="H38" s="254"/>
    </row>
    <row r="39" spans="1:9">
      <c r="H39" s="254"/>
    </row>
    <row r="40" spans="1:9">
      <c r="H40" s="254"/>
    </row>
    <row r="41" spans="1:9">
      <c r="H41" s="254"/>
    </row>
    <row r="42" spans="1:9">
      <c r="H42" s="254"/>
    </row>
    <row r="43" spans="1:9">
      <c r="H43" s="254"/>
    </row>
    <row r="44" spans="1:9">
      <c r="H44" s="254"/>
    </row>
    <row r="45" spans="1:9">
      <c r="H45" s="254"/>
    </row>
    <row r="46" spans="1:9">
      <c r="H46" s="254"/>
    </row>
    <row r="47" spans="1:9">
      <c r="H47" s="254"/>
    </row>
    <row r="48" spans="1:9">
      <c r="H48" s="254"/>
    </row>
    <row r="49" spans="8:8">
      <c r="H49" s="254"/>
    </row>
    <row r="50" spans="8:8">
      <c r="H50" s="254"/>
    </row>
    <row r="51" spans="8:8">
      <c r="H51" s="254"/>
    </row>
    <row r="52" spans="8:8">
      <c r="H52" s="254"/>
    </row>
    <row r="53" spans="8:8">
      <c r="H53" s="254"/>
    </row>
    <row r="54" spans="8:8">
      <c r="H54" s="254"/>
    </row>
    <row r="55" spans="8:8">
      <c r="H55" s="254"/>
    </row>
    <row r="56" spans="8:8">
      <c r="H56" s="254"/>
    </row>
    <row r="57" spans="8:8">
      <c r="H57" s="254"/>
    </row>
    <row r="58" spans="8:8">
      <c r="H58" s="254"/>
    </row>
    <row r="59" spans="8:8">
      <c r="H59" s="254"/>
    </row>
    <row r="60" spans="8:8">
      <c r="H60" s="254"/>
    </row>
    <row r="61" spans="8:8">
      <c r="H61" s="254"/>
    </row>
    <row r="62" spans="8:8">
      <c r="H62" s="254"/>
    </row>
    <row r="63" spans="8:8">
      <c r="H63" s="254"/>
    </row>
    <row r="64" spans="8:8">
      <c r="H64" s="254"/>
    </row>
    <row r="65" spans="8:8">
      <c r="H65" s="254"/>
    </row>
    <row r="66" spans="8:8">
      <c r="H66" s="254"/>
    </row>
    <row r="67" spans="8:8">
      <c r="H67" s="254"/>
    </row>
    <row r="68" spans="8:8">
      <c r="H68" s="254"/>
    </row>
    <row r="69" spans="8:8">
      <c r="H69" s="254"/>
    </row>
    <row r="70" spans="8:8">
      <c r="H70" s="254"/>
    </row>
    <row r="71" spans="8:8">
      <c r="H71" s="254"/>
    </row>
    <row r="72" spans="8:8">
      <c r="H72" s="254"/>
    </row>
    <row r="73" spans="8:8">
      <c r="H73" s="254"/>
    </row>
    <row r="74" spans="8:8">
      <c r="H74" s="254"/>
    </row>
    <row r="75" spans="8:8">
      <c r="H75" s="254"/>
    </row>
    <row r="76" spans="8:8">
      <c r="H76" s="254"/>
    </row>
    <row r="77" spans="8:8">
      <c r="H77" s="254"/>
    </row>
    <row r="78" spans="8:8">
      <c r="H78" s="254"/>
    </row>
    <row r="79" spans="8:8">
      <c r="H79" s="254"/>
    </row>
    <row r="80" spans="8:8">
      <c r="H80" s="254"/>
    </row>
    <row r="81" spans="8:8">
      <c r="H81" s="254"/>
    </row>
    <row r="82" spans="8:8">
      <c r="H82" s="254"/>
    </row>
    <row r="83" spans="8:8">
      <c r="H83" s="254"/>
    </row>
    <row r="84" spans="8:8">
      <c r="H84" s="254"/>
    </row>
    <row r="85" spans="8:8">
      <c r="H85" s="254"/>
    </row>
    <row r="86" spans="8:8">
      <c r="H86" s="254"/>
    </row>
    <row r="87" spans="8:8">
      <c r="H87" s="254"/>
    </row>
    <row r="88" spans="8:8">
      <c r="H88" s="254"/>
    </row>
    <row r="89" spans="8:8">
      <c r="H89" s="254"/>
    </row>
    <row r="90" spans="8:8">
      <c r="H90" s="254"/>
    </row>
    <row r="91" spans="8:8">
      <c r="H91" s="254"/>
    </row>
    <row r="92" spans="8:8">
      <c r="H92" s="254"/>
    </row>
    <row r="93" spans="8:8">
      <c r="H93" s="254"/>
    </row>
    <row r="94" spans="8:8">
      <c r="H94" s="254"/>
    </row>
    <row r="95" spans="8:8">
      <c r="H95" s="254"/>
    </row>
    <row r="96" spans="8:8">
      <c r="H96" s="254"/>
    </row>
    <row r="97" spans="2:8">
      <c r="H97" s="254"/>
    </row>
    <row r="98" spans="2:8">
      <c r="H98" s="254"/>
    </row>
    <row r="99" spans="2:8">
      <c r="H99" s="254"/>
    </row>
    <row r="100" spans="2:8">
      <c r="H100" s="254"/>
    </row>
    <row r="101" spans="2:8">
      <c r="H101" s="254"/>
    </row>
    <row r="102" spans="2:8">
      <c r="H102" s="254"/>
    </row>
    <row r="103" spans="2:8">
      <c r="H103" s="254"/>
    </row>
    <row r="104" spans="2:8">
      <c r="H104" s="254"/>
    </row>
    <row r="105" spans="2:8">
      <c r="H105" s="254"/>
    </row>
    <row r="106" spans="2:8">
      <c r="H106" s="254"/>
    </row>
    <row r="107" spans="2:8">
      <c r="H107" s="254"/>
    </row>
    <row r="108" spans="2:8">
      <c r="H108" s="254"/>
    </row>
    <row r="109" spans="2:8">
      <c r="H109" s="254"/>
    </row>
    <row r="110" spans="2:8">
      <c r="B110">
        <f t="shared" ref="B110:B122" si="4">+B111+12</f>
        <v>180</v>
      </c>
      <c r="C110" s="103">
        <f>+'Input Data'!C14</f>
        <v>6953372</v>
      </c>
      <c r="D110" s="109">
        <f>+'Exercise 6 - Paid LDFs'!S108</f>
        <v>4066336.3900369992</v>
      </c>
      <c r="E110" s="244">
        <f>+'Exercise 6 - Paid LDFs'!T108</f>
        <v>1</v>
      </c>
      <c r="F110" s="109">
        <f>+D110*E110</f>
        <v>4066336.3900369992</v>
      </c>
      <c r="G110" s="103">
        <f>+F110-D110</f>
        <v>0</v>
      </c>
      <c r="H110" s="255">
        <f t="shared" ref="H110:H124" si="5">+F110/C17</f>
        <v>0.58480063917722214</v>
      </c>
    </row>
    <row r="111" spans="2:8">
      <c r="B111">
        <f t="shared" si="4"/>
        <v>168</v>
      </c>
      <c r="C111" s="103">
        <f>+'Input Data'!C15</f>
        <v>6567116</v>
      </c>
      <c r="D111" s="109">
        <f>+'Exercise 6 - Paid LDFs'!S109</f>
        <v>3271028.46</v>
      </c>
      <c r="E111" s="244">
        <f>+'Exercise 6 - Paid LDFs'!T109</f>
        <v>1</v>
      </c>
      <c r="F111" s="109">
        <f t="shared" ref="F111:F124" si="6">+D111*E111</f>
        <v>3271028.46</v>
      </c>
      <c r="G111" s="103">
        <f t="shared" ref="G111:G124" si="7">+F111-D111</f>
        <v>0</v>
      </c>
      <c r="H111" s="255">
        <f t="shared" si="5"/>
        <v>0.49809207877552336</v>
      </c>
    </row>
    <row r="112" spans="2:8">
      <c r="B112">
        <f t="shared" si="4"/>
        <v>156</v>
      </c>
      <c r="C112" s="103">
        <f>+'Input Data'!C16</f>
        <v>6690146</v>
      </c>
      <c r="D112" s="109">
        <f>+'Exercise 6 - Paid LDFs'!S110</f>
        <v>4586913</v>
      </c>
      <c r="E112" s="244">
        <f>+'Exercise 6 - Paid LDFs'!T110</f>
        <v>1</v>
      </c>
      <c r="F112" s="109">
        <f t="shared" si="6"/>
        <v>4586913</v>
      </c>
      <c r="G112" s="103">
        <f t="shared" si="7"/>
        <v>0</v>
      </c>
      <c r="H112" s="255">
        <f t="shared" si="5"/>
        <v>0.68562225697316626</v>
      </c>
    </row>
    <row r="113" spans="2:8">
      <c r="B113">
        <f t="shared" si="4"/>
        <v>144</v>
      </c>
      <c r="C113" s="103">
        <f>+'Input Data'!C17</f>
        <v>7103262.0000000009</v>
      </c>
      <c r="D113" s="109">
        <f>+'Exercise 6 - Paid LDFs'!S111</f>
        <v>4556737.22</v>
      </c>
      <c r="E113" s="244">
        <f>+'Exercise 6 - Paid LDFs'!T111</f>
        <v>1</v>
      </c>
      <c r="F113" s="109">
        <f t="shared" si="6"/>
        <v>4556737.22</v>
      </c>
      <c r="G113" s="103">
        <f t="shared" si="7"/>
        <v>0</v>
      </c>
      <c r="H113" s="255">
        <f t="shared" si="5"/>
        <v>0.64149924640256817</v>
      </c>
    </row>
    <row r="114" spans="2:8">
      <c r="B114">
        <f t="shared" si="4"/>
        <v>132</v>
      </c>
      <c r="C114" s="103">
        <f>+'Input Data'!C18</f>
        <v>7959030</v>
      </c>
      <c r="D114" s="109">
        <f>+'Exercise 6 - Paid LDFs'!S112</f>
        <v>4357830.49</v>
      </c>
      <c r="E114" s="244">
        <f>+'Exercise 6 - Paid LDFs'!T112</f>
        <v>1</v>
      </c>
      <c r="F114" s="109">
        <f t="shared" si="6"/>
        <v>4357830.49</v>
      </c>
      <c r="G114" s="103">
        <f t="shared" si="7"/>
        <v>0</v>
      </c>
      <c r="H114" s="255">
        <f t="shared" si="5"/>
        <v>0.54753286392939848</v>
      </c>
    </row>
    <row r="115" spans="2:8">
      <c r="B115">
        <f t="shared" si="4"/>
        <v>120</v>
      </c>
      <c r="C115" s="103">
        <f>+'Input Data'!C19</f>
        <v>9363418</v>
      </c>
      <c r="D115" s="109">
        <f>+'Exercise 6 - Paid LDFs'!S113</f>
        <v>3174352.51</v>
      </c>
      <c r="E115" s="244">
        <f>+'Exercise 6 - Paid LDFs'!T113</f>
        <v>1.1000000000000001</v>
      </c>
      <c r="F115" s="109">
        <f t="shared" si="6"/>
        <v>3491787.7609999999</v>
      </c>
      <c r="G115" s="103">
        <f t="shared" si="7"/>
        <v>317435.25100000016</v>
      </c>
      <c r="H115" s="255">
        <f t="shared" si="5"/>
        <v>0.37291806912817521</v>
      </c>
    </row>
    <row r="116" spans="2:8">
      <c r="B116">
        <f t="shared" si="4"/>
        <v>108</v>
      </c>
      <c r="C116" s="103">
        <f>+'Input Data'!C20</f>
        <v>10597562</v>
      </c>
      <c r="D116" s="109">
        <f>+'Exercise 6 - Paid LDFs'!S114</f>
        <v>2329891</v>
      </c>
      <c r="E116" s="244">
        <f>+'Exercise 6 - Paid LDFs'!T114</f>
        <v>1.1330000000000002</v>
      </c>
      <c r="F116" s="109">
        <f t="shared" si="6"/>
        <v>2639766.5030000005</v>
      </c>
      <c r="G116" s="103">
        <f t="shared" si="7"/>
        <v>309875.50300000049</v>
      </c>
      <c r="H116" s="255">
        <f t="shared" si="5"/>
        <v>0.24909186688410037</v>
      </c>
    </row>
    <row r="117" spans="2:8">
      <c r="B117">
        <f t="shared" si="4"/>
        <v>96</v>
      </c>
      <c r="C117" s="103">
        <f>+'Input Data'!C21</f>
        <v>11036360</v>
      </c>
      <c r="D117" s="109">
        <f>+'Exercise 6 - Paid LDFs'!S115</f>
        <v>2463991.9700000002</v>
      </c>
      <c r="E117" s="244">
        <f>+'Exercise 6 - Paid LDFs'!T115</f>
        <v>1.1681230000000002</v>
      </c>
      <c r="F117" s="109">
        <f t="shared" si="6"/>
        <v>2878245.6919723107</v>
      </c>
      <c r="G117" s="103">
        <f t="shared" si="7"/>
        <v>414253.72197231045</v>
      </c>
      <c r="H117" s="255">
        <f t="shared" si="5"/>
        <v>0.26079664780528278</v>
      </c>
    </row>
    <row r="118" spans="2:8">
      <c r="B118">
        <f t="shared" si="4"/>
        <v>84</v>
      </c>
      <c r="C118" s="103">
        <f>+'Input Data'!C22</f>
        <v>11402928</v>
      </c>
      <c r="D118" s="109">
        <f>+'Exercise 6 - Paid LDFs'!S116</f>
        <v>3156139.46</v>
      </c>
      <c r="E118" s="244">
        <f>+'Exercise 6 - Paid LDFs'!T116</f>
        <v>1.2241929040000004</v>
      </c>
      <c r="F118" s="109">
        <f t="shared" si="6"/>
        <v>3863723.5309663927</v>
      </c>
      <c r="G118" s="103">
        <f t="shared" si="7"/>
        <v>707584.07096639276</v>
      </c>
      <c r="H118" s="255">
        <f t="shared" si="5"/>
        <v>0.33883608937690324</v>
      </c>
    </row>
    <row r="119" spans="2:8">
      <c r="B119">
        <f t="shared" si="4"/>
        <v>72</v>
      </c>
      <c r="C119" s="103">
        <f>+'Input Data'!C23</f>
        <v>11099580</v>
      </c>
      <c r="D119" s="109">
        <f>+'Exercise 6 - Paid LDFs'!S117</f>
        <v>6907218</v>
      </c>
      <c r="E119" s="244">
        <f>+'Exercise 6 - Paid LDFs'!T117</f>
        <v>1.3245767221280005</v>
      </c>
      <c r="F119" s="109">
        <f t="shared" si="6"/>
        <v>9149140.177463524</v>
      </c>
      <c r="G119" s="103">
        <f t="shared" si="7"/>
        <v>2241922.177463524</v>
      </c>
      <c r="H119" s="255">
        <f t="shared" si="5"/>
        <v>0.82427805173380653</v>
      </c>
    </row>
    <row r="120" spans="2:8">
      <c r="B120">
        <f t="shared" si="4"/>
        <v>60</v>
      </c>
      <c r="C120" s="103">
        <f>+'Input Data'!C24</f>
        <v>10683363</v>
      </c>
      <c r="D120" s="109">
        <f>+'Exercise 6 - Paid LDFs'!S118</f>
        <v>4132680</v>
      </c>
      <c r="E120" s="244">
        <f>+'Exercise 6 - Paid LDFs'!T118</f>
        <v>1.4742538917284644</v>
      </c>
      <c r="F120" s="109">
        <f t="shared" si="6"/>
        <v>6092619.5732683903</v>
      </c>
      <c r="G120" s="103">
        <f t="shared" si="7"/>
        <v>1959939.5732683903</v>
      </c>
      <c r="H120" s="255">
        <f t="shared" si="5"/>
        <v>0.57029042009228648</v>
      </c>
    </row>
    <row r="121" spans="2:8">
      <c r="B121">
        <f t="shared" si="4"/>
        <v>48</v>
      </c>
      <c r="C121" s="103">
        <f>+'Input Data'!C25</f>
        <v>10430225</v>
      </c>
      <c r="D121" s="109">
        <f>+'Exercise 6 - Paid LDFs'!S119</f>
        <v>1766812.92</v>
      </c>
      <c r="E121" s="244">
        <f>+'Exercise 6 - Paid LDFs'!T119</f>
        <v>1.7941669862335414</v>
      </c>
      <c r="F121" s="109">
        <f t="shared" si="6"/>
        <v>3169957.4119148832</v>
      </c>
      <c r="G121" s="103">
        <f t="shared" si="7"/>
        <v>1403144.4919148833</v>
      </c>
      <c r="H121" s="255">
        <f t="shared" si="5"/>
        <v>0.30392032884380571</v>
      </c>
    </row>
    <row r="122" spans="2:8">
      <c r="B122">
        <f t="shared" si="4"/>
        <v>36</v>
      </c>
      <c r="C122" s="103">
        <f>+'Input Data'!C26</f>
        <v>10106327</v>
      </c>
      <c r="D122" s="109">
        <f>+'Exercise 6 - Paid LDFs'!S120</f>
        <v>1655619</v>
      </c>
      <c r="E122" s="244">
        <f>+'Exercise 6 - Paid LDFs'!T120</f>
        <v>2.4221254314152811</v>
      </c>
      <c r="F122" s="109">
        <f t="shared" si="6"/>
        <v>4010116.8846343365</v>
      </c>
      <c r="G122" s="103">
        <f t="shared" si="7"/>
        <v>2354497.8846343365</v>
      </c>
      <c r="H122" s="255">
        <f t="shared" si="5"/>
        <v>0.39679271060933774</v>
      </c>
    </row>
    <row r="123" spans="2:8">
      <c r="B123">
        <f>+B124+12</f>
        <v>24</v>
      </c>
      <c r="C123" s="103">
        <f>+'Input Data'!C27</f>
        <v>9889744</v>
      </c>
      <c r="D123" s="109">
        <f>+'Exercise 6 - Paid LDFs'!S121</f>
        <v>629188</v>
      </c>
      <c r="E123" s="244">
        <f>+'Exercise 6 - Paid LDFs'!T121</f>
        <v>3.8390688087932205</v>
      </c>
      <c r="F123" s="109">
        <f t="shared" si="6"/>
        <v>2415496.0256669889</v>
      </c>
      <c r="G123" s="103">
        <f t="shared" si="7"/>
        <v>1786308.0256669889</v>
      </c>
      <c r="H123" s="255">
        <f t="shared" si="5"/>
        <v>0.24424252292748821</v>
      </c>
    </row>
    <row r="124" spans="2:8">
      <c r="B124">
        <v>12</v>
      </c>
      <c r="C124" s="103">
        <f>+'Input Data'!C28</f>
        <v>9998035.5</v>
      </c>
      <c r="D124" s="109">
        <f>+'Exercise 6 - Paid LDFs'!S122</f>
        <v>383397</v>
      </c>
      <c r="E124" s="244">
        <f>+'Exercise 6 - Paid LDFs'!T122</f>
        <v>7.6205515854545434</v>
      </c>
      <c r="F124" s="109">
        <f t="shared" si="6"/>
        <v>2921696.6162085156</v>
      </c>
      <c r="G124" s="103">
        <f t="shared" si="7"/>
        <v>2538299.6162085156</v>
      </c>
      <c r="H124" s="255">
        <f t="shared" si="5"/>
        <v>0.29222706962868011</v>
      </c>
    </row>
    <row r="126" spans="2:8">
      <c r="C126" s="103">
        <f>SUM(C110:C125)</f>
        <v>139880468.5</v>
      </c>
      <c r="D126" s="103">
        <f>SUM(D110:D125)</f>
        <v>47438135.420037001</v>
      </c>
      <c r="F126" s="103">
        <f>SUM(F110:F125)</f>
        <v>61471395.736132346</v>
      </c>
      <c r="G126" s="103">
        <f>SUM(G110:G125)</f>
        <v>14033260.316095343</v>
      </c>
      <c r="H126" s="255">
        <f>+F126/C33</f>
        <v>0.43945660459474617</v>
      </c>
    </row>
  </sheetData>
  <conditionalFormatting sqref="I17:I31">
    <cfRule type="cellIs" dxfId="89" priority="8" stopIfTrue="1" operator="notEqual">
      <formula>P17</formula>
    </cfRule>
  </conditionalFormatting>
  <conditionalFormatting sqref="B17:B33">
    <cfRule type="cellIs" dxfId="88" priority="7" operator="notEqual">
      <formula>B110</formula>
    </cfRule>
  </conditionalFormatting>
  <conditionalFormatting sqref="D17:D31">
    <cfRule type="cellIs" dxfId="87" priority="6" operator="notEqual">
      <formula>D110</formula>
    </cfRule>
  </conditionalFormatting>
  <conditionalFormatting sqref="E17:G31">
    <cfRule type="cellIs" dxfId="86" priority="5" operator="notEqual">
      <formula>E110</formula>
    </cfRule>
  </conditionalFormatting>
  <conditionalFormatting sqref="H17:H31">
    <cfRule type="cellIs" dxfId="85" priority="4" operator="notEqual">
      <formula>H110</formula>
    </cfRule>
  </conditionalFormatting>
  <conditionalFormatting sqref="H33">
    <cfRule type="cellIs" dxfId="84" priority="3" operator="notEqual">
      <formula>H126</formula>
    </cfRule>
  </conditionalFormatting>
  <conditionalFormatting sqref="D33">
    <cfRule type="cellIs" dxfId="83" priority="2" operator="notEqual">
      <formula>D126</formula>
    </cfRule>
  </conditionalFormatting>
  <conditionalFormatting sqref="F33:G33">
    <cfRule type="cellIs" dxfId="82" priority="1" operator="notEqual">
      <formula>F126</formula>
    </cfRule>
  </conditionalFormatting>
  <pageMargins left="0.7" right="0.7" top="0.75" bottom="0.75" header="0.3" footer="0.3"/>
  <pageSetup orientation="portrait" horizontalDpi="1200" verticalDpi="1200" r:id="rId1"/>
  <ignoredErrors>
    <ignoredError sqref="D17:H31 B17:B30" unlockedFormula="1"/>
    <ignoredError sqref="B10:H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H126"/>
  <sheetViews>
    <sheetView showGridLines="0" topLeftCell="O1" workbookViewId="0">
      <selection activeCell="R14" sqref="R14:AJ14"/>
    </sheetView>
  </sheetViews>
  <sheetFormatPr defaultRowHeight="12.75"/>
  <cols>
    <col min="1" max="2" width="13.42578125" customWidth="1"/>
    <col min="3" max="3" width="15.5703125" customWidth="1"/>
    <col min="4" max="4" width="16.7109375" customWidth="1"/>
    <col min="5" max="5" width="14.140625" customWidth="1"/>
    <col min="6" max="6" width="17.7109375" customWidth="1"/>
    <col min="7" max="8" width="17.28515625" customWidth="1"/>
    <col min="10" max="13" width="9.7109375" customWidth="1"/>
    <col min="14" max="14" width="14.140625" customWidth="1"/>
    <col min="15" max="15" width="8.85546875" customWidth="1"/>
  </cols>
  <sheetData>
    <row r="1" spans="1:8" ht="15.75">
      <c r="A1" s="203" t="s">
        <v>0</v>
      </c>
      <c r="B1" s="73"/>
      <c r="C1" s="73"/>
    </row>
    <row r="2" spans="1:8" ht="15.75">
      <c r="A2" s="204" t="str">
        <f>+"Analysis of Loss &amp; DCC Reserves as of "&amp;TEXT(EvalDate,"mm/dd/yyy")</f>
        <v>Analysis of Loss &amp; DCC Reserves as of 12/31/2016</v>
      </c>
      <c r="B2" s="73"/>
      <c r="C2" s="73"/>
    </row>
    <row r="3" spans="1:8" ht="15.75">
      <c r="A3" s="205" t="str">
        <f>+LOB</f>
        <v>Liability</v>
      </c>
      <c r="B3" s="73"/>
      <c r="C3" s="73"/>
    </row>
    <row r="5" spans="1:8" ht="15.75">
      <c r="A5" s="104" t="s">
        <v>66</v>
      </c>
      <c r="B5" s="73"/>
      <c r="C5" s="73"/>
    </row>
    <row r="6" spans="1:8" ht="15.75">
      <c r="A6" s="73"/>
      <c r="B6" s="73"/>
      <c r="C6" s="73"/>
    </row>
    <row r="7" spans="1:8" ht="15.75">
      <c r="A7" s="73"/>
      <c r="B7" s="73"/>
      <c r="C7" s="73"/>
    </row>
    <row r="8" spans="1:8" ht="15.75">
      <c r="A8" s="73"/>
      <c r="B8" s="73"/>
      <c r="C8" s="73"/>
    </row>
    <row r="9" spans="1:8" ht="15.75">
      <c r="A9" s="73"/>
      <c r="B9" s="74"/>
      <c r="C9" s="74"/>
      <c r="D9" s="75"/>
      <c r="E9" s="76"/>
      <c r="F9" s="76"/>
      <c r="G9" s="76"/>
      <c r="H9" s="76"/>
    </row>
    <row r="10" spans="1:8" ht="15.75">
      <c r="A10" s="73"/>
      <c r="B10" s="78" t="s">
        <v>45</v>
      </c>
      <c r="C10" s="79" t="s">
        <v>46</v>
      </c>
      <c r="D10" s="79" t="s">
        <v>47</v>
      </c>
      <c r="E10" s="79" t="s">
        <v>48</v>
      </c>
      <c r="F10" s="79" t="s">
        <v>49</v>
      </c>
      <c r="G10" s="79" t="s">
        <v>50</v>
      </c>
      <c r="H10" s="79" t="s">
        <v>51</v>
      </c>
    </row>
    <row r="11" spans="1:8" ht="15.75">
      <c r="A11" s="40"/>
      <c r="B11" s="81"/>
      <c r="C11" s="81"/>
      <c r="D11" s="82"/>
      <c r="E11" s="83"/>
      <c r="F11" s="84"/>
      <c r="G11" s="76"/>
      <c r="H11" s="76"/>
    </row>
    <row r="12" spans="1:8" ht="15.75">
      <c r="A12" s="46"/>
      <c r="B12" s="85"/>
      <c r="C12" s="85"/>
      <c r="D12" s="86"/>
      <c r="E12" s="83"/>
      <c r="F12" s="83" t="s">
        <v>64</v>
      </c>
      <c r="G12" s="83"/>
      <c r="H12" s="83" t="s">
        <v>54</v>
      </c>
    </row>
    <row r="13" spans="1:8" ht="15.75">
      <c r="A13" s="46"/>
      <c r="B13" s="85"/>
      <c r="C13" s="85"/>
      <c r="D13" s="86"/>
      <c r="E13" s="83"/>
      <c r="F13" s="83" t="s">
        <v>53</v>
      </c>
      <c r="G13" s="83" t="s">
        <v>54</v>
      </c>
      <c r="H13" s="83" t="s">
        <v>73</v>
      </c>
    </row>
    <row r="14" spans="1:8" ht="15.75">
      <c r="A14" s="46" t="s">
        <v>3</v>
      </c>
      <c r="B14" s="85"/>
      <c r="C14" s="86" t="s">
        <v>143</v>
      </c>
      <c r="D14" s="86" t="s">
        <v>64</v>
      </c>
      <c r="E14" s="86" t="s">
        <v>64</v>
      </c>
      <c r="F14" s="83" t="s">
        <v>55</v>
      </c>
      <c r="G14" s="83" t="s">
        <v>56</v>
      </c>
      <c r="H14" s="83" t="s">
        <v>53</v>
      </c>
    </row>
    <row r="15" spans="1:8" ht="15.75">
      <c r="A15" s="87" t="s">
        <v>5</v>
      </c>
      <c r="B15" s="86" t="s">
        <v>57</v>
      </c>
      <c r="C15" s="88" t="s">
        <v>58</v>
      </c>
      <c r="D15" s="88" t="s">
        <v>53</v>
      </c>
      <c r="E15" s="87" t="s">
        <v>59</v>
      </c>
      <c r="F15" s="87" t="s">
        <v>60</v>
      </c>
      <c r="G15" s="87" t="s">
        <v>65</v>
      </c>
      <c r="H15" s="87" t="s">
        <v>62</v>
      </c>
    </row>
    <row r="16" spans="1:8">
      <c r="A16" s="89"/>
      <c r="B16" s="110"/>
      <c r="C16" s="271"/>
      <c r="D16" s="90"/>
      <c r="E16" s="90"/>
      <c r="F16" s="90"/>
      <c r="G16" s="90"/>
      <c r="H16" s="90"/>
    </row>
    <row r="17" spans="1:8">
      <c r="A17" s="89">
        <f t="shared" ref="A17:A29" si="0">+A18-1</f>
        <v>2002</v>
      </c>
      <c r="B17" s="273">
        <f t="shared" ref="B17:B29" si="1">+B18+12</f>
        <v>180</v>
      </c>
      <c r="C17" s="94">
        <f>+'Input Data'!C14</f>
        <v>6953372</v>
      </c>
      <c r="D17" s="234">
        <f>+D110</f>
        <v>4230708.2989949994</v>
      </c>
      <c r="E17" s="267">
        <f>+E110</f>
        <v>1</v>
      </c>
      <c r="F17" s="268">
        <f t="shared" ref="F17:H33" si="2">+F110</f>
        <v>4230708.2989949994</v>
      </c>
      <c r="G17" s="268">
        <f t="shared" ref="G17" si="3">+G110</f>
        <v>164371.90895800013</v>
      </c>
      <c r="H17" s="269">
        <f t="shared" ref="H17" si="4">+H110</f>
        <v>0.60843980431292899</v>
      </c>
    </row>
    <row r="18" spans="1:8">
      <c r="A18" s="89">
        <f t="shared" si="0"/>
        <v>2003</v>
      </c>
      <c r="B18" s="273">
        <f t="shared" si="1"/>
        <v>168</v>
      </c>
      <c r="C18" s="94">
        <f>+'Input Data'!C15</f>
        <v>6567116</v>
      </c>
      <c r="D18" s="234">
        <f>+D111</f>
        <v>3320551.0000000005</v>
      </c>
      <c r="E18" s="267">
        <f>+E111</f>
        <v>1</v>
      </c>
      <c r="F18" s="268">
        <f t="shared" si="2"/>
        <v>3320551.0000000005</v>
      </c>
      <c r="G18" s="268">
        <f t="shared" ref="G18" si="5">+G111</f>
        <v>49522.540000000503</v>
      </c>
      <c r="H18" s="269">
        <f t="shared" ref="H18" si="6">+H111</f>
        <v>0.50563306632622307</v>
      </c>
    </row>
    <row r="19" spans="1:8">
      <c r="A19" s="89">
        <f t="shared" si="0"/>
        <v>2004</v>
      </c>
      <c r="B19" s="273">
        <f t="shared" si="1"/>
        <v>156</v>
      </c>
      <c r="C19" s="94">
        <f>+'Input Data'!C16</f>
        <v>6690146</v>
      </c>
      <c r="D19" s="234">
        <f t="shared" ref="D19:F33" si="7">+D112</f>
        <v>4622140</v>
      </c>
      <c r="E19" s="267">
        <f t="shared" si="7"/>
        <v>1.0053182108589542</v>
      </c>
      <c r="F19" s="268">
        <f t="shared" si="7"/>
        <v>4646721.5151396068</v>
      </c>
      <c r="G19" s="268">
        <f t="shared" ref="G19" si="8">+G112</f>
        <v>59808.515139606781</v>
      </c>
      <c r="H19" s="269">
        <f t="shared" ref="H19" si="9">+H112</f>
        <v>0.69456204918989917</v>
      </c>
    </row>
    <row r="20" spans="1:8">
      <c r="A20" s="89">
        <f t="shared" si="0"/>
        <v>2005</v>
      </c>
      <c r="B20" s="273">
        <f t="shared" si="1"/>
        <v>144</v>
      </c>
      <c r="C20" s="94">
        <f>+'Input Data'!C17</f>
        <v>7103262.0000000009</v>
      </c>
      <c r="D20" s="234">
        <f t="shared" si="7"/>
        <v>4629843.9999999991</v>
      </c>
      <c r="E20" s="267">
        <f t="shared" si="7"/>
        <v>1.0115586232344225</v>
      </c>
      <c r="F20" s="268">
        <f t="shared" si="7"/>
        <v>4683358.6224301504</v>
      </c>
      <c r="G20" s="268">
        <f t="shared" ref="G20" si="10">+G113</f>
        <v>126621.40243015066</v>
      </c>
      <c r="H20" s="269">
        <f t="shared" si="2"/>
        <v>0.65932505691471743</v>
      </c>
    </row>
    <row r="21" spans="1:8">
      <c r="A21" s="89">
        <f t="shared" si="0"/>
        <v>2006</v>
      </c>
      <c r="B21" s="273">
        <f t="shared" si="1"/>
        <v>132</v>
      </c>
      <c r="C21" s="94">
        <f>+'Input Data'!C18</f>
        <v>7959030</v>
      </c>
      <c r="D21" s="234">
        <f t="shared" si="7"/>
        <v>4721272</v>
      </c>
      <c r="E21" s="267">
        <f t="shared" si="7"/>
        <v>1.0291376118833016</v>
      </c>
      <c r="F21" s="268">
        <f t="shared" si="7"/>
        <v>4858838.591131499</v>
      </c>
      <c r="G21" s="268">
        <f t="shared" ref="G21" si="11">+G114</f>
        <v>501008.10113149881</v>
      </c>
      <c r="H21" s="269">
        <f t="shared" si="2"/>
        <v>0.61048125099811146</v>
      </c>
    </row>
    <row r="22" spans="1:8">
      <c r="A22" s="89">
        <f t="shared" si="0"/>
        <v>2007</v>
      </c>
      <c r="B22" s="273">
        <f t="shared" si="1"/>
        <v>120</v>
      </c>
      <c r="C22" s="94">
        <f>+'Input Data'!C19</f>
        <v>9363418</v>
      </c>
      <c r="D22" s="234">
        <f t="shared" si="7"/>
        <v>3244357</v>
      </c>
      <c r="E22" s="267">
        <f t="shared" si="7"/>
        <v>1.0916226810336243</v>
      </c>
      <c r="F22" s="268">
        <f t="shared" si="7"/>
        <v>3541613.6865702062</v>
      </c>
      <c r="G22" s="268">
        <f t="shared" ref="G22" si="12">+G115</f>
        <v>367261.17657020641</v>
      </c>
      <c r="H22" s="269">
        <f t="shared" si="2"/>
        <v>0.37823940857603561</v>
      </c>
    </row>
    <row r="23" spans="1:8">
      <c r="A23" s="89">
        <f t="shared" si="0"/>
        <v>2008</v>
      </c>
      <c r="B23" s="273">
        <f t="shared" si="1"/>
        <v>108</v>
      </c>
      <c r="C23" s="94">
        <f>+'Input Data'!C20</f>
        <v>10597562</v>
      </c>
      <c r="D23" s="234">
        <f t="shared" si="7"/>
        <v>2329891</v>
      </c>
      <c r="E23" s="267">
        <f t="shared" si="7"/>
        <v>1.1737624789555137</v>
      </c>
      <c r="F23" s="268">
        <f t="shared" si="7"/>
        <v>2734738.6358561409</v>
      </c>
      <c r="G23" s="268">
        <f t="shared" ref="G23" si="13">+G116</f>
        <v>404847.63585614087</v>
      </c>
      <c r="H23" s="269">
        <f t="shared" si="2"/>
        <v>0.25805356324937195</v>
      </c>
    </row>
    <row r="24" spans="1:8">
      <c r="A24" s="89">
        <f t="shared" si="0"/>
        <v>2009</v>
      </c>
      <c r="B24" s="273">
        <f t="shared" si="1"/>
        <v>96</v>
      </c>
      <c r="C24" s="94">
        <f>+'Input Data'!C21</f>
        <v>11036360</v>
      </c>
      <c r="D24" s="234">
        <f t="shared" si="7"/>
        <v>2674745</v>
      </c>
      <c r="E24" s="267">
        <f t="shared" si="7"/>
        <v>1.1854587362636373</v>
      </c>
      <c r="F24" s="268">
        <f t="shared" si="7"/>
        <v>3170799.8275274825</v>
      </c>
      <c r="G24" s="268">
        <f t="shared" ref="G24" si="14">+G117</f>
        <v>706807.85752748232</v>
      </c>
      <c r="H24" s="269">
        <f t="shared" si="2"/>
        <v>0.28730485663094374</v>
      </c>
    </row>
    <row r="25" spans="1:8">
      <c r="A25" s="89">
        <f t="shared" si="0"/>
        <v>2010</v>
      </c>
      <c r="B25" s="273">
        <f t="shared" si="1"/>
        <v>84</v>
      </c>
      <c r="C25" s="94">
        <f>+'Input Data'!C22</f>
        <v>11402928</v>
      </c>
      <c r="D25" s="234">
        <f t="shared" si="7"/>
        <v>3631863</v>
      </c>
      <c r="E25" s="267">
        <f t="shared" si="7"/>
        <v>1.1785654064496045</v>
      </c>
      <c r="F25" s="268">
        <f t="shared" si="7"/>
        <v>4280388.0927642798</v>
      </c>
      <c r="G25" s="268">
        <f t="shared" ref="G25" si="15">+G118</f>
        <v>1124248.6327642798</v>
      </c>
      <c r="H25" s="269">
        <f t="shared" si="2"/>
        <v>0.37537622729568054</v>
      </c>
    </row>
    <row r="26" spans="1:8">
      <c r="A26" s="89">
        <f t="shared" si="0"/>
        <v>2011</v>
      </c>
      <c r="B26" s="273">
        <f t="shared" si="1"/>
        <v>72</v>
      </c>
      <c r="C26" s="94">
        <f>+'Input Data'!C23</f>
        <v>11099580</v>
      </c>
      <c r="D26" s="234">
        <f t="shared" si="7"/>
        <v>7442768</v>
      </c>
      <c r="E26" s="267">
        <f t="shared" si="7"/>
        <v>1.1976794441605365</v>
      </c>
      <c r="F26" s="268">
        <f t="shared" si="7"/>
        <v>8914050.2412558272</v>
      </c>
      <c r="G26" s="268">
        <f t="shared" ref="G26" si="16">+G119</f>
        <v>2006832.2412558272</v>
      </c>
      <c r="H26" s="269">
        <f t="shared" si="2"/>
        <v>0.80309797679334061</v>
      </c>
    </row>
    <row r="27" spans="1:8">
      <c r="A27" s="89">
        <f t="shared" si="0"/>
        <v>2012</v>
      </c>
      <c r="B27" s="273">
        <f t="shared" si="1"/>
        <v>60</v>
      </c>
      <c r="C27" s="94">
        <f>+'Input Data'!C24</f>
        <v>10683363</v>
      </c>
      <c r="D27" s="234">
        <f t="shared" si="7"/>
        <v>5448294</v>
      </c>
      <c r="E27" s="267">
        <f t="shared" si="7"/>
        <v>1.2244805544162072</v>
      </c>
      <c r="F27" s="268">
        <f t="shared" si="7"/>
        <v>6671330.0577424951</v>
      </c>
      <c r="G27" s="268">
        <f t="shared" ref="G27" si="17">+G120</f>
        <v>2538650.0577424951</v>
      </c>
      <c r="H27" s="269">
        <f t="shared" si="2"/>
        <v>0.62445973779440944</v>
      </c>
    </row>
    <row r="28" spans="1:8">
      <c r="A28" s="89">
        <f t="shared" si="0"/>
        <v>2013</v>
      </c>
      <c r="B28" s="273">
        <f t="shared" si="1"/>
        <v>48</v>
      </c>
      <c r="C28" s="94">
        <f>+'Input Data'!C25</f>
        <v>10430225</v>
      </c>
      <c r="D28" s="234">
        <f t="shared" si="7"/>
        <v>2911031</v>
      </c>
      <c r="E28" s="267">
        <f t="shared" si="7"/>
        <v>1.3017059064828742</v>
      </c>
      <c r="F28" s="268">
        <f t="shared" si="7"/>
        <v>3789306.246654748</v>
      </c>
      <c r="G28" s="268">
        <f t="shared" ref="G28" si="18">+G121</f>
        <v>2022493.3266547481</v>
      </c>
      <c r="H28" s="269">
        <f t="shared" si="2"/>
        <v>0.3633005277119859</v>
      </c>
    </row>
    <row r="29" spans="1:8">
      <c r="A29" s="89">
        <f t="shared" si="0"/>
        <v>2014</v>
      </c>
      <c r="B29" s="273">
        <f t="shared" si="1"/>
        <v>36</v>
      </c>
      <c r="C29" s="94">
        <f>+'Input Data'!C26</f>
        <v>10106327</v>
      </c>
      <c r="D29" s="234">
        <f t="shared" si="7"/>
        <v>3045525</v>
      </c>
      <c r="E29" s="267">
        <f t="shared" si="7"/>
        <v>1.4783921441717476</v>
      </c>
      <c r="F29" s="268">
        <f t="shared" si="7"/>
        <v>4502480.2348786611</v>
      </c>
      <c r="G29" s="268">
        <f t="shared" ref="G29" si="19">+G122</f>
        <v>2846861.2348786611</v>
      </c>
      <c r="H29" s="269">
        <f t="shared" si="2"/>
        <v>0.4455110382712395</v>
      </c>
    </row>
    <row r="30" spans="1:8">
      <c r="A30" s="89">
        <f>+A31-1</f>
        <v>2015</v>
      </c>
      <c r="B30" s="273">
        <f>+B31+12</f>
        <v>24</v>
      </c>
      <c r="C30" s="94">
        <f>+'Input Data'!C27</f>
        <v>9889744</v>
      </c>
      <c r="D30" s="234">
        <f t="shared" si="7"/>
        <v>2397947</v>
      </c>
      <c r="E30" s="267">
        <f t="shared" si="7"/>
        <v>1.8029940493915948</v>
      </c>
      <c r="F30" s="268">
        <f t="shared" si="7"/>
        <v>4323484.1717564268</v>
      </c>
      <c r="G30" s="268">
        <f t="shared" ref="G30" si="20">+G123</f>
        <v>3694296.1717564268</v>
      </c>
      <c r="H30" s="269">
        <f t="shared" si="2"/>
        <v>0.43716846176770874</v>
      </c>
    </row>
    <row r="31" spans="1:8">
      <c r="A31" s="89">
        <f>+EndYear</f>
        <v>2016</v>
      </c>
      <c r="B31" s="273">
        <v>12</v>
      </c>
      <c r="C31" s="94">
        <f>+'Input Data'!C28</f>
        <v>9998035.5</v>
      </c>
      <c r="D31" s="234">
        <f t="shared" si="7"/>
        <v>2365070</v>
      </c>
      <c r="E31" s="267">
        <f t="shared" si="7"/>
        <v>2.6704928164625059</v>
      </c>
      <c r="F31" s="268">
        <f t="shared" si="7"/>
        <v>6315902.4454309791</v>
      </c>
      <c r="G31" s="268">
        <f t="shared" ref="G31:G33" si="21">+G124</f>
        <v>5932505.4454309791</v>
      </c>
      <c r="H31" s="269">
        <f t="shared" si="2"/>
        <v>0.63171434482613897</v>
      </c>
    </row>
    <row r="32" spans="1:8">
      <c r="A32" s="89"/>
      <c r="B32" s="266"/>
      <c r="C32" s="271"/>
      <c r="D32" s="95"/>
      <c r="E32" s="171"/>
      <c r="F32" s="107"/>
      <c r="G32" s="107"/>
      <c r="H32" s="270"/>
    </row>
    <row r="33" spans="1:8">
      <c r="A33" s="97" t="s">
        <v>63</v>
      </c>
      <c r="B33" s="272"/>
      <c r="C33" s="98">
        <f>SUM(C17:C31)</f>
        <v>139880468.5</v>
      </c>
      <c r="D33" s="102">
        <f t="shared" si="7"/>
        <v>57016006.298995003</v>
      </c>
      <c r="E33" s="236"/>
      <c r="F33" s="252">
        <f t="shared" si="7"/>
        <v>69984271.668133497</v>
      </c>
      <c r="G33" s="252">
        <f t="shared" si="21"/>
        <v>22546136.248096503</v>
      </c>
      <c r="H33" s="253">
        <f t="shared" si="2"/>
        <v>0.50031482178037956</v>
      </c>
    </row>
    <row r="35" spans="1:8" ht="15.75">
      <c r="A35" s="100"/>
      <c r="B35" s="100"/>
      <c r="C35" s="100"/>
    </row>
    <row r="36" spans="1:8" ht="15.75">
      <c r="A36" s="101"/>
      <c r="B36" s="101"/>
      <c r="C36" s="101"/>
    </row>
    <row r="110" spans="2:8">
      <c r="B110">
        <f t="shared" ref="B110:B122" si="22">+B111+12</f>
        <v>180</v>
      </c>
      <c r="C110" s="109">
        <f>+'Input Data'!C14</f>
        <v>6953372</v>
      </c>
      <c r="D110" s="109">
        <f>+'Exercise 6 Inc LDFs'!S111</f>
        <v>4230708.2989949994</v>
      </c>
      <c r="E110" s="244">
        <f>+'Exercise 6 Inc LDFs'!T111</f>
        <v>1</v>
      </c>
      <c r="F110" s="109">
        <f>+D110*E110</f>
        <v>4230708.2989949994</v>
      </c>
      <c r="G110" s="103">
        <f>+F110-'Exercise 7 &amp; 8 PD Dev Meth  '!D110</f>
        <v>164371.90895800013</v>
      </c>
      <c r="H110" s="255">
        <f t="shared" ref="H110:H123" si="23">+F110/C17</f>
        <v>0.60843980431292899</v>
      </c>
    </row>
    <row r="111" spans="2:8">
      <c r="B111">
        <f t="shared" si="22"/>
        <v>168</v>
      </c>
      <c r="C111" s="109">
        <f>+'Input Data'!C15</f>
        <v>6567116</v>
      </c>
      <c r="D111" s="109">
        <f>+'Exercise 6 Inc LDFs'!S112</f>
        <v>3320551.0000000005</v>
      </c>
      <c r="E111" s="244">
        <f>+'Exercise 6 Inc LDFs'!T112</f>
        <v>1</v>
      </c>
      <c r="F111" s="109">
        <f t="shared" ref="F111:F124" si="24">+D111*E111</f>
        <v>3320551.0000000005</v>
      </c>
      <c r="G111" s="103">
        <f>+F111-'Exercise 7 &amp; 8 PD Dev Meth  '!D111</f>
        <v>49522.540000000503</v>
      </c>
      <c r="H111" s="255">
        <f t="shared" si="23"/>
        <v>0.50563306632622307</v>
      </c>
    </row>
    <row r="112" spans="2:8">
      <c r="B112">
        <f t="shared" si="22"/>
        <v>156</v>
      </c>
      <c r="C112" s="109">
        <f>+'Input Data'!C16</f>
        <v>6690146</v>
      </c>
      <c r="D112" s="109">
        <f>+'Exercise 6 Inc LDFs'!S113</f>
        <v>4622140</v>
      </c>
      <c r="E112" s="244">
        <f>+'Exercise 6 Inc LDFs'!T113</f>
        <v>1.0053182108589542</v>
      </c>
      <c r="F112" s="109">
        <f t="shared" si="24"/>
        <v>4646721.5151396068</v>
      </c>
      <c r="G112" s="103">
        <f>+F112-'Exercise 7 &amp; 8 PD Dev Meth  '!D112</f>
        <v>59808.515139606781</v>
      </c>
      <c r="H112" s="255">
        <f t="shared" si="23"/>
        <v>0.69456204918989917</v>
      </c>
    </row>
    <row r="113" spans="2:8">
      <c r="B113">
        <f t="shared" si="22"/>
        <v>144</v>
      </c>
      <c r="C113" s="109">
        <f>+'Input Data'!C17</f>
        <v>7103262.0000000009</v>
      </c>
      <c r="D113" s="109">
        <f>+'Exercise 6 Inc LDFs'!S114</f>
        <v>4629843.9999999991</v>
      </c>
      <c r="E113" s="244">
        <f>+'Exercise 6 Inc LDFs'!T114</f>
        <v>1.0115586232344225</v>
      </c>
      <c r="F113" s="109">
        <f t="shared" si="24"/>
        <v>4683358.6224301504</v>
      </c>
      <c r="G113" s="103">
        <f>+F113-'Exercise 7 &amp; 8 PD Dev Meth  '!D113</f>
        <v>126621.40243015066</v>
      </c>
      <c r="H113" s="255">
        <f t="shared" si="23"/>
        <v>0.65932505691471743</v>
      </c>
    </row>
    <row r="114" spans="2:8">
      <c r="B114">
        <f t="shared" si="22"/>
        <v>132</v>
      </c>
      <c r="C114" s="109">
        <f>+'Input Data'!C18</f>
        <v>7959030</v>
      </c>
      <c r="D114" s="109">
        <f>+'Exercise 6 Inc LDFs'!S115</f>
        <v>4721272</v>
      </c>
      <c r="E114" s="244">
        <f>+'Exercise 6 Inc LDFs'!T115</f>
        <v>1.0291376118833016</v>
      </c>
      <c r="F114" s="109">
        <f t="shared" si="24"/>
        <v>4858838.591131499</v>
      </c>
      <c r="G114" s="103">
        <f>+F114-'Exercise 7 &amp; 8 PD Dev Meth  '!D114</f>
        <v>501008.10113149881</v>
      </c>
      <c r="H114" s="255">
        <f t="shared" si="23"/>
        <v>0.61048125099811146</v>
      </c>
    </row>
    <row r="115" spans="2:8">
      <c r="B115">
        <f t="shared" si="22"/>
        <v>120</v>
      </c>
      <c r="C115" s="109">
        <f>+'Input Data'!C19</f>
        <v>9363418</v>
      </c>
      <c r="D115" s="109">
        <f>+'Exercise 6 Inc LDFs'!S116</f>
        <v>3244357</v>
      </c>
      <c r="E115" s="244">
        <f>+'Exercise 6 Inc LDFs'!T116</f>
        <v>1.0916226810336243</v>
      </c>
      <c r="F115" s="109">
        <f t="shared" si="24"/>
        <v>3541613.6865702062</v>
      </c>
      <c r="G115" s="103">
        <f>+F115-'Exercise 7 &amp; 8 PD Dev Meth  '!D115</f>
        <v>367261.17657020641</v>
      </c>
      <c r="H115" s="255">
        <f t="shared" si="23"/>
        <v>0.37823940857603561</v>
      </c>
    </row>
    <row r="116" spans="2:8">
      <c r="B116">
        <f t="shared" si="22"/>
        <v>108</v>
      </c>
      <c r="C116" s="109">
        <f>+'Input Data'!C20</f>
        <v>10597562</v>
      </c>
      <c r="D116" s="109">
        <f>+'Exercise 6 Inc LDFs'!S117</f>
        <v>2329891</v>
      </c>
      <c r="E116" s="244">
        <f>+'Exercise 6 Inc LDFs'!T117</f>
        <v>1.1737624789555137</v>
      </c>
      <c r="F116" s="109">
        <f t="shared" si="24"/>
        <v>2734738.6358561409</v>
      </c>
      <c r="G116" s="103">
        <f>+F116-'Exercise 7 &amp; 8 PD Dev Meth  '!D116</f>
        <v>404847.63585614087</v>
      </c>
      <c r="H116" s="255">
        <f t="shared" si="23"/>
        <v>0.25805356324937195</v>
      </c>
    </row>
    <row r="117" spans="2:8">
      <c r="B117">
        <f t="shared" si="22"/>
        <v>96</v>
      </c>
      <c r="C117" s="109">
        <f>+'Input Data'!C21</f>
        <v>11036360</v>
      </c>
      <c r="D117" s="109">
        <f>+'Exercise 6 Inc LDFs'!S118</f>
        <v>2674745</v>
      </c>
      <c r="E117" s="244">
        <f>+'Exercise 6 Inc LDFs'!T118</f>
        <v>1.1854587362636373</v>
      </c>
      <c r="F117" s="109">
        <f t="shared" si="24"/>
        <v>3170799.8275274825</v>
      </c>
      <c r="G117" s="103">
        <f>+F117-'Exercise 7 &amp; 8 PD Dev Meth  '!D117</f>
        <v>706807.85752748232</v>
      </c>
      <c r="H117" s="255">
        <f t="shared" si="23"/>
        <v>0.28730485663094374</v>
      </c>
    </row>
    <row r="118" spans="2:8">
      <c r="B118">
        <f t="shared" si="22"/>
        <v>84</v>
      </c>
      <c r="C118" s="109">
        <f>+'Input Data'!C22</f>
        <v>11402928</v>
      </c>
      <c r="D118" s="109">
        <f>+'Exercise 6 Inc LDFs'!S119</f>
        <v>3631863</v>
      </c>
      <c r="E118" s="244">
        <f>+'Exercise 6 Inc LDFs'!T119</f>
        <v>1.1785654064496045</v>
      </c>
      <c r="F118" s="109">
        <f t="shared" si="24"/>
        <v>4280388.0927642798</v>
      </c>
      <c r="G118" s="103">
        <f>+F118-'Exercise 7 &amp; 8 PD Dev Meth  '!D118</f>
        <v>1124248.6327642798</v>
      </c>
      <c r="H118" s="255">
        <f t="shared" si="23"/>
        <v>0.37537622729568054</v>
      </c>
    </row>
    <row r="119" spans="2:8">
      <c r="B119">
        <f t="shared" si="22"/>
        <v>72</v>
      </c>
      <c r="C119" s="109">
        <f>+'Input Data'!C23</f>
        <v>11099580</v>
      </c>
      <c r="D119" s="109">
        <f>+'Exercise 6 Inc LDFs'!S120</f>
        <v>7442768</v>
      </c>
      <c r="E119" s="244">
        <f>+'Exercise 6 Inc LDFs'!T120</f>
        <v>1.1976794441605365</v>
      </c>
      <c r="F119" s="109">
        <f t="shared" si="24"/>
        <v>8914050.2412558272</v>
      </c>
      <c r="G119" s="103">
        <f>+F119-'Exercise 7 &amp; 8 PD Dev Meth  '!D119</f>
        <v>2006832.2412558272</v>
      </c>
      <c r="H119" s="255">
        <f t="shared" si="23"/>
        <v>0.80309797679334061</v>
      </c>
    </row>
    <row r="120" spans="2:8">
      <c r="B120">
        <f t="shared" si="22"/>
        <v>60</v>
      </c>
      <c r="C120" s="109">
        <f>+'Input Data'!C24</f>
        <v>10683363</v>
      </c>
      <c r="D120" s="109">
        <f>+'Exercise 6 Inc LDFs'!S121</f>
        <v>5448294</v>
      </c>
      <c r="E120" s="244">
        <f>+'Exercise 6 Inc LDFs'!T121</f>
        <v>1.2244805544162072</v>
      </c>
      <c r="F120" s="109">
        <f t="shared" si="24"/>
        <v>6671330.0577424951</v>
      </c>
      <c r="G120" s="103">
        <f>+F120-'Exercise 7 &amp; 8 PD Dev Meth  '!D120</f>
        <v>2538650.0577424951</v>
      </c>
      <c r="H120" s="255">
        <f t="shared" si="23"/>
        <v>0.62445973779440944</v>
      </c>
    </row>
    <row r="121" spans="2:8">
      <c r="B121">
        <f t="shared" si="22"/>
        <v>48</v>
      </c>
      <c r="C121" s="109">
        <f>+'Input Data'!C25</f>
        <v>10430225</v>
      </c>
      <c r="D121" s="109">
        <f>+'Exercise 6 Inc LDFs'!S122</f>
        <v>2911031</v>
      </c>
      <c r="E121" s="244">
        <f>+'Exercise 6 Inc LDFs'!T122</f>
        <v>1.3017059064828742</v>
      </c>
      <c r="F121" s="109">
        <f t="shared" si="24"/>
        <v>3789306.246654748</v>
      </c>
      <c r="G121" s="103">
        <f>+F121-'Exercise 7 &amp; 8 PD Dev Meth  '!D121</f>
        <v>2022493.3266547481</v>
      </c>
      <c r="H121" s="255">
        <f t="shared" si="23"/>
        <v>0.3633005277119859</v>
      </c>
    </row>
    <row r="122" spans="2:8">
      <c r="B122">
        <f t="shared" si="22"/>
        <v>36</v>
      </c>
      <c r="C122" s="109">
        <f>+'Input Data'!C26</f>
        <v>10106327</v>
      </c>
      <c r="D122" s="109">
        <f>+'Exercise 6 Inc LDFs'!S123</f>
        <v>3045525</v>
      </c>
      <c r="E122" s="244">
        <f>+'Exercise 6 Inc LDFs'!T123</f>
        <v>1.4783921441717476</v>
      </c>
      <c r="F122" s="109">
        <f t="shared" si="24"/>
        <v>4502480.2348786611</v>
      </c>
      <c r="G122" s="103">
        <f>+F122-'Exercise 7 &amp; 8 PD Dev Meth  '!D122</f>
        <v>2846861.2348786611</v>
      </c>
      <c r="H122" s="255">
        <f t="shared" si="23"/>
        <v>0.4455110382712395</v>
      </c>
    </row>
    <row r="123" spans="2:8">
      <c r="B123">
        <f>+B124+12</f>
        <v>24</v>
      </c>
      <c r="C123" s="109">
        <f>+'Input Data'!C27</f>
        <v>9889744</v>
      </c>
      <c r="D123" s="109">
        <f>+'Exercise 6 Inc LDFs'!S124</f>
        <v>2397947</v>
      </c>
      <c r="E123" s="244">
        <f>+'Exercise 6 Inc LDFs'!T124</f>
        <v>1.8029940493915948</v>
      </c>
      <c r="F123" s="109">
        <f t="shared" si="24"/>
        <v>4323484.1717564268</v>
      </c>
      <c r="G123" s="103">
        <f>+F123-'Exercise 7 &amp; 8 PD Dev Meth  '!D123</f>
        <v>3694296.1717564268</v>
      </c>
      <c r="H123" s="255">
        <f t="shared" si="23"/>
        <v>0.43716846176770874</v>
      </c>
    </row>
    <row r="124" spans="2:8">
      <c r="B124">
        <v>12</v>
      </c>
      <c r="C124" s="109">
        <f>+'Input Data'!C28</f>
        <v>9998035.5</v>
      </c>
      <c r="D124" s="109">
        <f>+'Exercise 6 Inc LDFs'!S125</f>
        <v>2365070</v>
      </c>
      <c r="E124" s="244">
        <f>+'Exercise 6 Inc LDFs'!T125</f>
        <v>2.6704928164625059</v>
      </c>
      <c r="F124" s="109">
        <f t="shared" si="24"/>
        <v>6315902.4454309791</v>
      </c>
      <c r="G124" s="103">
        <f>+F124-'Exercise 7 &amp; 8 PD Dev Meth  '!D124</f>
        <v>5932505.4454309791</v>
      </c>
      <c r="H124" s="255">
        <f>+F124/C31</f>
        <v>0.63171434482613897</v>
      </c>
    </row>
    <row r="126" spans="2:8">
      <c r="C126" s="103">
        <f>SUM(C110:C125)</f>
        <v>139880468.5</v>
      </c>
      <c r="D126" s="103">
        <f>SUM(D110:D125)</f>
        <v>57016006.298995003</v>
      </c>
      <c r="F126" s="103">
        <f>SUM(F110:F125)</f>
        <v>69984271.668133497</v>
      </c>
      <c r="G126" s="103">
        <f>SUM(G110:G125)</f>
        <v>22546136.248096503</v>
      </c>
      <c r="H126" s="255">
        <f>+F126/C33</f>
        <v>0.50031482178037956</v>
      </c>
    </row>
  </sheetData>
  <conditionalFormatting sqref="B32:B33">
    <cfRule type="cellIs" dxfId="73" priority="7" operator="notEqual">
      <formula>B125</formula>
    </cfRule>
  </conditionalFormatting>
  <conditionalFormatting sqref="D17:D31">
    <cfRule type="cellIs" dxfId="72" priority="6" operator="notEqual">
      <formula>D110</formula>
    </cfRule>
  </conditionalFormatting>
  <conditionalFormatting sqref="E17:G31">
    <cfRule type="cellIs" dxfId="71" priority="5" operator="notEqual">
      <formula>E110</formula>
    </cfRule>
  </conditionalFormatting>
  <conditionalFormatting sqref="H17:H31">
    <cfRule type="cellIs" dxfId="70" priority="4" operator="notEqual">
      <formula>H110</formula>
    </cfRule>
  </conditionalFormatting>
  <conditionalFormatting sqref="H33">
    <cfRule type="cellIs" dxfId="69" priority="3" operator="notEqual">
      <formula>H126</formula>
    </cfRule>
  </conditionalFormatting>
  <conditionalFormatting sqref="D33">
    <cfRule type="cellIs" dxfId="68" priority="2" operator="notEqual">
      <formula>D126</formula>
    </cfRule>
  </conditionalFormatting>
  <conditionalFormatting sqref="F33:G33">
    <cfRule type="cellIs" dxfId="67" priority="1" operator="notEqual">
      <formula>F126</formula>
    </cfRule>
  </conditionalFormatting>
  <pageMargins left="0.7" right="0.7" top="0.75" bottom="0.75" header="0.3" footer="0.3"/>
  <pageSetup orientation="portrait" horizontalDpi="1200" verticalDpi="1200" r:id="rId1"/>
  <ignoredErrors>
    <ignoredError sqref="B10:H10" numberStoredAsText="1"/>
    <ignoredError sqref="D17:H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5</vt:i4>
      </vt:variant>
    </vt:vector>
  </HeadingPairs>
  <TitlesOfParts>
    <vt:vector size="38" baseType="lpstr">
      <vt:lpstr>Input Data</vt:lpstr>
      <vt:lpstr>Exercise 6 - Paid LDFs</vt:lpstr>
      <vt:lpstr>Exercise 6 Inc LDFs</vt:lpstr>
      <vt:lpstr>Exercise 6 DCC Paid LDFs</vt:lpstr>
      <vt:lpstr>Exercise 6 -  Report Claim LDFs</vt:lpstr>
      <vt:lpstr>Excercise 6 - Closed Claim LDFs</vt:lpstr>
      <vt:lpstr>Exercise 7 &amp; 8 PD Dev Meth  </vt:lpstr>
      <vt:lpstr>Exercise 7 &amp; 8 PD Dev Meth  (2)</vt:lpstr>
      <vt:lpstr>Exercise 7 &amp; 8 Inc Dev Meth</vt:lpstr>
      <vt:lpstr>Paid DCC Dev</vt:lpstr>
      <vt:lpstr>Rpt Claim Dev</vt:lpstr>
      <vt:lpstr>Closed Claim Dev</vt:lpstr>
      <vt:lpstr>Exercise 9 - Pd LDFs for ELR </vt:lpstr>
      <vt:lpstr>Exercise 10 - Expected LR M (2)</vt:lpstr>
      <vt:lpstr>Exercise 10 - Expected LR Meth</vt:lpstr>
      <vt:lpstr>Exercise 11 - Paid BF Meth</vt:lpstr>
      <vt:lpstr>Exercise 11 - Paid BF Meth (2)</vt:lpstr>
      <vt:lpstr>Exercise 11 - Inc BF Meth</vt:lpstr>
      <vt:lpstr>Exercise 12 - Pd to Pd Factors</vt:lpstr>
      <vt:lpstr>Exercise 12 - Pd to Pd Fact (2)</vt:lpstr>
      <vt:lpstr>Exercise 12 - DCC Pd Pd LDFs</vt:lpstr>
      <vt:lpstr>Exercise 13 - Pd to Pd Dev</vt:lpstr>
      <vt:lpstr>Exercise 13 - Pd to Pd Dev (2)</vt:lpstr>
      <vt:lpstr>Exercise 14 - Diagnotics 1</vt:lpstr>
      <vt:lpstr>Exercise 14 - Diagnotics 1 (2)</vt:lpstr>
      <vt:lpstr>Exercise 14 - Diagnotics 2</vt:lpstr>
      <vt:lpstr>Exercise 14 - Diagnotics 3</vt:lpstr>
      <vt:lpstr>Exercise 15 - Ult Loss Select</vt:lpstr>
      <vt:lpstr>Exercise 15 - Ult DCC Select</vt:lpstr>
      <vt:lpstr>Exercise 16 - Loss Summary</vt:lpstr>
      <vt:lpstr>Exercise 16 - Metrics</vt:lpstr>
      <vt:lpstr>Exercise 16 -Loss &amp; DCC Summary</vt:lpstr>
      <vt:lpstr>Sheet3</vt:lpstr>
      <vt:lpstr>DataType</vt:lpstr>
      <vt:lpstr>EndYear</vt:lpstr>
      <vt:lpstr>EvalDate</vt:lpstr>
      <vt:lpstr>FirstMonth</vt:lpstr>
      <vt:lpstr>LOB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Taylor</dc:creator>
  <cp:lastModifiedBy>Jane Taylor</cp:lastModifiedBy>
  <dcterms:created xsi:type="dcterms:W3CDTF">2015-08-17T21:28:42Z</dcterms:created>
  <dcterms:modified xsi:type="dcterms:W3CDTF">2017-08-14T12:40:10Z</dcterms:modified>
</cp:coreProperties>
</file>