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7"/>
  </bookViews>
  <sheets>
    <sheet name="(1) Mult with Exp &amp; Dev" sheetId="1" r:id="rId1"/>
    <sheet name="(2) Log-Linear with Exp &amp; Dev" sheetId="4" r:id="rId2"/>
    <sheet name="(3) Model Matrix Exp &amp; Dev" sheetId="2" r:id="rId3"/>
    <sheet name="(4) Mult with Exp &amp; Dev &amp; Pay" sheetId="5" r:id="rId4"/>
    <sheet name="(5) LogLin with Exp &amp; Dev &amp; Pay" sheetId="6" r:id="rId5"/>
    <sheet name="(6) Mod Matrix Exp &amp; Dev &amp; Pay" sheetId="7" r:id="rId6"/>
    <sheet name="(7) Trnd Mod Matrix Exp&amp;Dev&amp;Pay" sheetId="8" r:id="rId7"/>
    <sheet name="(8) TrndGrp ModMtrx Exp&amp;Dev&amp;Pay" sheetId="9" r:id="rId8"/>
  </sheets>
  <definedNames>
    <definedName name="SubNums">{"₀","₁","₂","₃","₄","₅","₆","₇","₈","₉"}</definedName>
  </definedNames>
  <calcPr calcId="145621"/>
</workbook>
</file>

<file path=xl/calcChain.xml><?xml version="1.0" encoding="utf-8"?>
<calcChain xmlns="http://schemas.openxmlformats.org/spreadsheetml/2006/main">
  <c r="E7" i="9" l="1"/>
  <c r="J27" i="9"/>
  <c r="C21" i="9" s="1"/>
  <c r="J26" i="9"/>
  <c r="C19" i="9" s="1"/>
  <c r="J25" i="9"/>
  <c r="G25" i="9" s="1"/>
  <c r="B19" i="9" l="1"/>
  <c r="C16" i="9"/>
  <c r="G16" i="9" s="1"/>
  <c r="B20" i="9"/>
  <c r="B18" i="9"/>
  <c r="C20" i="9"/>
  <c r="H25" i="9"/>
  <c r="H16" i="9" s="1"/>
  <c r="C18" i="9"/>
  <c r="B16" i="9"/>
  <c r="B17" i="9"/>
  <c r="B21" i="9"/>
  <c r="C17" i="9"/>
  <c r="E25" i="9"/>
  <c r="G26" i="9"/>
  <c r="F26" i="9"/>
  <c r="H26" i="9"/>
  <c r="G27" i="9"/>
  <c r="G21" i="9" s="1"/>
  <c r="I25" i="9"/>
  <c r="E27" i="9"/>
  <c r="I27" i="9"/>
  <c r="I21" i="9" s="1"/>
  <c r="H27" i="9"/>
  <c r="H21" i="9" s="1"/>
  <c r="F25" i="9"/>
  <c r="E26" i="9"/>
  <c r="I26" i="9"/>
  <c r="F27" i="9"/>
  <c r="D21" i="9"/>
  <c r="D20" i="9"/>
  <c r="D19" i="9"/>
  <c r="D18" i="9"/>
  <c r="D17" i="9"/>
  <c r="D16" i="9"/>
  <c r="E21" i="9" l="1"/>
  <c r="L32" i="9" s="1"/>
  <c r="H17" i="9"/>
  <c r="I19" i="9"/>
  <c r="I18" i="9"/>
  <c r="I20" i="9"/>
  <c r="H20" i="9"/>
  <c r="H19" i="9"/>
  <c r="H18" i="9"/>
  <c r="E19" i="9"/>
  <c r="J32" i="9" s="1"/>
  <c r="E18" i="9"/>
  <c r="E20" i="9"/>
  <c r="K32" i="9" s="1"/>
  <c r="F18" i="9"/>
  <c r="F20" i="9"/>
  <c r="F19" i="9"/>
  <c r="F17" i="9"/>
  <c r="F16" i="9"/>
  <c r="I17" i="9"/>
  <c r="I16" i="9"/>
  <c r="G20" i="9"/>
  <c r="G19" i="9"/>
  <c r="G18" i="9"/>
  <c r="G17" i="9"/>
  <c r="F21" i="9"/>
  <c r="E17" i="9"/>
  <c r="H32" i="9" s="1"/>
  <c r="E16" i="9"/>
  <c r="G32" i="9" s="1"/>
  <c r="D11" i="9"/>
  <c r="D9" i="9"/>
  <c r="D10" i="9"/>
  <c r="D7" i="9"/>
  <c r="D6" i="9"/>
  <c r="D8" i="9"/>
  <c r="D33" i="9"/>
  <c r="A32" i="9"/>
  <c r="AA6" i="9" s="1"/>
  <c r="E22" i="8"/>
  <c r="F22" i="8" s="1"/>
  <c r="A21" i="8"/>
  <c r="G33" i="9" l="1"/>
  <c r="I32" i="9"/>
  <c r="H33" i="9"/>
  <c r="G31" i="9" a="1"/>
  <c r="J31" i="9" s="1"/>
  <c r="E33" i="9"/>
  <c r="Z6" i="8"/>
  <c r="A22" i="8"/>
  <c r="E23" i="8"/>
  <c r="B21" i="7"/>
  <c r="A20" i="7"/>
  <c r="W6" i="7" s="1"/>
  <c r="AA6" i="2"/>
  <c r="Z7" i="2"/>
  <c r="Z6" i="2"/>
  <c r="Y8" i="2"/>
  <c r="Y7" i="2"/>
  <c r="Y6" i="2"/>
  <c r="X9" i="2"/>
  <c r="X8" i="2"/>
  <c r="X7" i="2"/>
  <c r="X6" i="2"/>
  <c r="W10" i="2"/>
  <c r="W9" i="2"/>
  <c r="W8" i="2"/>
  <c r="W7" i="2"/>
  <c r="W6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B18" i="2"/>
  <c r="C18" i="2"/>
  <c r="B19" i="2" s="1"/>
  <c r="G31" i="9" l="1"/>
  <c r="I33" i="9"/>
  <c r="J33" i="9"/>
  <c r="K33" i="9"/>
  <c r="L33" i="9"/>
  <c r="K31" i="9"/>
  <c r="L31" i="9"/>
  <c r="I31" i="9"/>
  <c r="H31" i="9"/>
  <c r="A33" i="9"/>
  <c r="D34" i="9"/>
  <c r="E24" i="8"/>
  <c r="F24" i="8" s="1"/>
  <c r="F23" i="8"/>
  <c r="AA6" i="8"/>
  <c r="C21" i="7"/>
  <c r="B22" i="7" s="1"/>
  <c r="C22" i="7" s="1"/>
  <c r="C19" i="2"/>
  <c r="B20" i="2" s="1"/>
  <c r="C45" i="5"/>
  <c r="A44" i="6"/>
  <c r="A43" i="6"/>
  <c r="A42" i="6"/>
  <c r="M15" i="6"/>
  <c r="L16" i="6"/>
  <c r="L15" i="6"/>
  <c r="K17" i="6"/>
  <c r="K16" i="6"/>
  <c r="K15" i="6"/>
  <c r="J18" i="6"/>
  <c r="J17" i="6"/>
  <c r="J16" i="6"/>
  <c r="J15" i="6"/>
  <c r="I19" i="6"/>
  <c r="I18" i="6"/>
  <c r="I17" i="6"/>
  <c r="I16" i="6"/>
  <c r="I15" i="6"/>
  <c r="E33" i="6"/>
  <c r="D33" i="6"/>
  <c r="C33" i="6"/>
  <c r="B33" i="6"/>
  <c r="A33" i="6"/>
  <c r="E29" i="6"/>
  <c r="D29" i="6"/>
  <c r="C29" i="6"/>
  <c r="B29" i="6"/>
  <c r="A29" i="6"/>
  <c r="E25" i="6"/>
  <c r="D25" i="6"/>
  <c r="C25" i="6"/>
  <c r="B25" i="6"/>
  <c r="A25" i="6"/>
  <c r="U6" i="6"/>
  <c r="T7" i="6"/>
  <c r="T6" i="6"/>
  <c r="S8" i="6"/>
  <c r="S7" i="6"/>
  <c r="S6" i="6"/>
  <c r="R9" i="6"/>
  <c r="R8" i="6"/>
  <c r="R7" i="6"/>
  <c r="R6" i="6"/>
  <c r="Q10" i="6"/>
  <c r="Q9" i="6"/>
  <c r="Q8" i="6"/>
  <c r="Q7" i="6"/>
  <c r="Q6" i="6"/>
  <c r="M6" i="6"/>
  <c r="L7" i="6"/>
  <c r="L6" i="6"/>
  <c r="K8" i="6"/>
  <c r="K7" i="6"/>
  <c r="K6" i="6"/>
  <c r="J9" i="6"/>
  <c r="J8" i="6"/>
  <c r="J7" i="6"/>
  <c r="J6" i="6"/>
  <c r="I10" i="6"/>
  <c r="I9" i="6"/>
  <c r="I8" i="6"/>
  <c r="I7" i="6"/>
  <c r="I6" i="6"/>
  <c r="A18" i="6" a="1"/>
  <c r="C18" i="6" s="1"/>
  <c r="A18" i="6"/>
  <c r="B18" i="6"/>
  <c r="A13" i="6" a="1"/>
  <c r="C13" i="6" s="1"/>
  <c r="C9" i="6"/>
  <c r="A9" i="6" a="1"/>
  <c r="B9" i="6" s="1"/>
  <c r="A5" i="6" a="1"/>
  <c r="D5" i="6" s="1"/>
  <c r="C49" i="5"/>
  <c r="X41" i="5"/>
  <c r="W41" i="5"/>
  <c r="W42" i="5" s="1"/>
  <c r="W43" i="5" s="1"/>
  <c r="W44" i="5" s="1"/>
  <c r="G34" i="9" l="1"/>
  <c r="H34" i="9"/>
  <c r="K19" i="8"/>
  <c r="I19" i="8"/>
  <c r="H19" i="8"/>
  <c r="J19" i="8"/>
  <c r="E18" i="7"/>
  <c r="H18" i="7"/>
  <c r="G18" i="7"/>
  <c r="F18" i="7"/>
  <c r="C49" i="6"/>
  <c r="A49" i="6" s="1"/>
  <c r="C56" i="6" s="1"/>
  <c r="AB6" i="9"/>
  <c r="E34" i="9"/>
  <c r="S19" i="8"/>
  <c r="R19" i="8"/>
  <c r="Q19" i="8"/>
  <c r="P19" i="8"/>
  <c r="O18" i="7"/>
  <c r="N18" i="7"/>
  <c r="P18" i="7"/>
  <c r="M18" i="7"/>
  <c r="N19" i="8"/>
  <c r="L19" i="8"/>
  <c r="O19" i="8"/>
  <c r="M19" i="8"/>
  <c r="L18" i="7"/>
  <c r="K18" i="7"/>
  <c r="J18" i="7"/>
  <c r="I18" i="7"/>
  <c r="A23" i="8"/>
  <c r="AB6" i="8" s="1"/>
  <c r="A24" i="8"/>
  <c r="E25" i="8"/>
  <c r="F25" i="8" s="1"/>
  <c r="A21" i="7"/>
  <c r="X6" i="7" s="1"/>
  <c r="A22" i="7"/>
  <c r="B23" i="7"/>
  <c r="C20" i="2"/>
  <c r="B21" i="2" s="1"/>
  <c r="C45" i="6"/>
  <c r="W41" i="6"/>
  <c r="W42" i="6" s="1"/>
  <c r="W43" i="6" s="1"/>
  <c r="W44" i="6" s="1"/>
  <c r="X41" i="6"/>
  <c r="D13" i="6"/>
  <c r="A13" i="6"/>
  <c r="E13" i="6"/>
  <c r="B13" i="6"/>
  <c r="D9" i="6"/>
  <c r="A9" i="6"/>
  <c r="E9" i="6"/>
  <c r="C5" i="6"/>
  <c r="B5" i="6"/>
  <c r="E5" i="6"/>
  <c r="A5" i="6"/>
  <c r="A49" i="5"/>
  <c r="B49" i="5"/>
  <c r="W45" i="5"/>
  <c r="E33" i="5"/>
  <c r="D33" i="5"/>
  <c r="C33" i="5"/>
  <c r="B33" i="5"/>
  <c r="A33" i="5"/>
  <c r="E29" i="5"/>
  <c r="D29" i="5"/>
  <c r="C29" i="5"/>
  <c r="B29" i="5"/>
  <c r="A29" i="5"/>
  <c r="E25" i="5"/>
  <c r="D25" i="5"/>
  <c r="C25" i="5"/>
  <c r="B25" i="5"/>
  <c r="A25" i="5"/>
  <c r="M6" i="5"/>
  <c r="L7" i="5"/>
  <c r="L6" i="5"/>
  <c r="K8" i="5"/>
  <c r="K7" i="5"/>
  <c r="K6" i="5"/>
  <c r="J9" i="5"/>
  <c r="J8" i="5"/>
  <c r="J7" i="5"/>
  <c r="J6" i="5"/>
  <c r="I10" i="5"/>
  <c r="I9" i="5"/>
  <c r="I8" i="5"/>
  <c r="I7" i="5"/>
  <c r="I6" i="5"/>
  <c r="K34" i="9" l="1"/>
  <c r="I34" i="9"/>
  <c r="J34" i="9"/>
  <c r="L34" i="9"/>
  <c r="D35" i="9"/>
  <c r="W45" i="6"/>
  <c r="B49" i="6"/>
  <c r="C64" i="6" s="1"/>
  <c r="D56" i="6"/>
  <c r="A56" i="6"/>
  <c r="E56" i="6"/>
  <c r="B56" i="6"/>
  <c r="F34" i="7"/>
  <c r="F32" i="7"/>
  <c r="F25" i="7"/>
  <c r="F26" i="7"/>
  <c r="F31" i="7"/>
  <c r="F28" i="7"/>
  <c r="F29" i="7"/>
  <c r="F30" i="7"/>
  <c r="F20" i="7"/>
  <c r="F33" i="7"/>
  <c r="F23" i="7"/>
  <c r="F24" i="7"/>
  <c r="F21" i="7"/>
  <c r="F22" i="7"/>
  <c r="F27" i="7"/>
  <c r="H18" i="8"/>
  <c r="H21" i="8" s="1"/>
  <c r="G30" i="7"/>
  <c r="G25" i="7"/>
  <c r="G31" i="7"/>
  <c r="G20" i="7"/>
  <c r="G27" i="7"/>
  <c r="G32" i="7"/>
  <c r="G21" i="7"/>
  <c r="G22" i="7"/>
  <c r="G28" i="7"/>
  <c r="G33" i="7"/>
  <c r="G23" i="7"/>
  <c r="G24" i="7"/>
  <c r="G29" i="7"/>
  <c r="G34" i="7"/>
  <c r="G26" i="7"/>
  <c r="I18" i="8"/>
  <c r="I34" i="8" s="1"/>
  <c r="H34" i="7"/>
  <c r="H20" i="7"/>
  <c r="H24" i="7"/>
  <c r="H28" i="7"/>
  <c r="H32" i="7"/>
  <c r="H21" i="7"/>
  <c r="H25" i="7"/>
  <c r="H29" i="7"/>
  <c r="H33" i="7"/>
  <c r="H22" i="7"/>
  <c r="H26" i="7"/>
  <c r="H30" i="7"/>
  <c r="H23" i="7"/>
  <c r="H27" i="7"/>
  <c r="H31" i="7"/>
  <c r="J18" i="8"/>
  <c r="J34" i="8" s="1"/>
  <c r="K18" i="8"/>
  <c r="K35" i="8" s="1"/>
  <c r="E34" i="7"/>
  <c r="E21" i="7"/>
  <c r="E25" i="7"/>
  <c r="E29" i="7"/>
  <c r="E33" i="7"/>
  <c r="E22" i="7"/>
  <c r="E26" i="7"/>
  <c r="E30" i="7"/>
  <c r="E23" i="7"/>
  <c r="E27" i="7"/>
  <c r="E31" i="7"/>
  <c r="E20" i="7"/>
  <c r="E24" i="7"/>
  <c r="E28" i="7"/>
  <c r="E32" i="7"/>
  <c r="A34" i="9"/>
  <c r="M20" i="7"/>
  <c r="M22" i="7"/>
  <c r="M26" i="7"/>
  <c r="M30" i="7"/>
  <c r="M34" i="7"/>
  <c r="M27" i="7"/>
  <c r="M28" i="7"/>
  <c r="M21" i="7"/>
  <c r="M25" i="7"/>
  <c r="M29" i="7"/>
  <c r="M33" i="7"/>
  <c r="M23" i="7"/>
  <c r="M31" i="7"/>
  <c r="M24" i="7"/>
  <c r="M32" i="7"/>
  <c r="P18" i="8"/>
  <c r="P35" i="8" s="1"/>
  <c r="P34" i="7"/>
  <c r="P23" i="7"/>
  <c r="P27" i="7"/>
  <c r="P31" i="7"/>
  <c r="P20" i="7"/>
  <c r="P28" i="7"/>
  <c r="P21" i="7"/>
  <c r="P29" i="7"/>
  <c r="P22" i="7"/>
  <c r="P26" i="7"/>
  <c r="P30" i="7"/>
  <c r="P24" i="7"/>
  <c r="P32" i="7"/>
  <c r="P25" i="7"/>
  <c r="P33" i="7"/>
  <c r="Q18" i="8"/>
  <c r="Q35" i="8" s="1"/>
  <c r="N33" i="7"/>
  <c r="N28" i="7"/>
  <c r="N24" i="7"/>
  <c r="N26" i="7"/>
  <c r="N27" i="7"/>
  <c r="N20" i="7"/>
  <c r="N29" i="7"/>
  <c r="N31" i="7"/>
  <c r="N22" i="7"/>
  <c r="N25" i="7"/>
  <c r="N32" i="7"/>
  <c r="N30" i="7"/>
  <c r="N21" i="7"/>
  <c r="N34" i="7"/>
  <c r="N23" i="7"/>
  <c r="R18" i="8"/>
  <c r="R35" i="8" s="1"/>
  <c r="O33" i="7"/>
  <c r="O28" i="7"/>
  <c r="O26" i="7"/>
  <c r="O23" i="7"/>
  <c r="O31" i="7"/>
  <c r="O24" i="7"/>
  <c r="O30" i="7"/>
  <c r="O25" i="7"/>
  <c r="O32" i="7"/>
  <c r="O34" i="7"/>
  <c r="O27" i="7"/>
  <c r="O20" i="7"/>
  <c r="O22" i="7"/>
  <c r="O21" i="7"/>
  <c r="O29" i="7"/>
  <c r="S18" i="8"/>
  <c r="S35" i="8" s="1"/>
  <c r="K30" i="7"/>
  <c r="K22" i="7"/>
  <c r="K32" i="7"/>
  <c r="K21" i="7"/>
  <c r="K29" i="7"/>
  <c r="K20" i="7"/>
  <c r="K24" i="7"/>
  <c r="K34" i="7"/>
  <c r="K23" i="7"/>
  <c r="K26" i="7"/>
  <c r="K25" i="7"/>
  <c r="K33" i="7"/>
  <c r="K28" i="7"/>
  <c r="K27" i="7"/>
  <c r="K31" i="7"/>
  <c r="L18" i="8"/>
  <c r="L26" i="8" s="1"/>
  <c r="B4" i="8" a="1"/>
  <c r="E60" i="6"/>
  <c r="L34" i="7"/>
  <c r="L21" i="7"/>
  <c r="L25" i="7"/>
  <c r="L29" i="7"/>
  <c r="L33" i="7"/>
  <c r="L22" i="7"/>
  <c r="L26" i="7"/>
  <c r="L23" i="7"/>
  <c r="L27" i="7"/>
  <c r="L31" i="7"/>
  <c r="L20" i="7"/>
  <c r="L24" i="7"/>
  <c r="L28" i="7"/>
  <c r="L32" i="7"/>
  <c r="L30" i="7"/>
  <c r="N18" i="8"/>
  <c r="N34" i="8" s="1"/>
  <c r="I34" i="7"/>
  <c r="I23" i="7"/>
  <c r="I27" i="7"/>
  <c r="I31" i="7"/>
  <c r="I28" i="7"/>
  <c r="I25" i="7"/>
  <c r="I33" i="7"/>
  <c r="A4" i="7" a="1"/>
  <c r="I22" i="7"/>
  <c r="I26" i="7"/>
  <c r="I30" i="7"/>
  <c r="I24" i="7"/>
  <c r="I32" i="7"/>
  <c r="I20" i="7"/>
  <c r="I21" i="7"/>
  <c r="I29" i="7"/>
  <c r="M18" i="8"/>
  <c r="M35" i="8" s="1"/>
  <c r="A64" i="6"/>
  <c r="J33" i="7"/>
  <c r="J28" i="7"/>
  <c r="J30" i="7"/>
  <c r="J26" i="7"/>
  <c r="J32" i="7"/>
  <c r="J23" i="7"/>
  <c r="J31" i="7"/>
  <c r="J34" i="7"/>
  <c r="J20" i="7"/>
  <c r="J22" i="7"/>
  <c r="J24" i="7"/>
  <c r="J21" i="7"/>
  <c r="J29" i="7"/>
  <c r="J25" i="7"/>
  <c r="J27" i="7"/>
  <c r="O18" i="8"/>
  <c r="O35" i="8" s="1"/>
  <c r="A25" i="8"/>
  <c r="E26" i="8"/>
  <c r="AC6" i="8"/>
  <c r="Y6" i="7"/>
  <c r="C23" i="7"/>
  <c r="B24" i="7" s="1"/>
  <c r="C21" i="2"/>
  <c r="B22" i="2" s="1"/>
  <c r="C60" i="5"/>
  <c r="B60" i="5"/>
  <c r="E60" i="5"/>
  <c r="D60" i="5"/>
  <c r="A60" i="5"/>
  <c r="C64" i="5"/>
  <c r="E64" i="5"/>
  <c r="D64" i="5"/>
  <c r="A64" i="5"/>
  <c r="B64" i="5"/>
  <c r="D56" i="5"/>
  <c r="B56" i="5"/>
  <c r="E56" i="5"/>
  <c r="A56" i="5"/>
  <c r="C56" i="5"/>
  <c r="I16" i="5"/>
  <c r="I15" i="5"/>
  <c r="L15" i="5"/>
  <c r="K16" i="5"/>
  <c r="K17" i="5"/>
  <c r="I19" i="5"/>
  <c r="L16" i="5"/>
  <c r="I17" i="5"/>
  <c r="J16" i="5"/>
  <c r="M15" i="5"/>
  <c r="J18" i="5"/>
  <c r="J15" i="5"/>
  <c r="K15" i="5"/>
  <c r="I18" i="5"/>
  <c r="J17" i="5"/>
  <c r="A27" i="4"/>
  <c r="A26" i="4"/>
  <c r="M15" i="4"/>
  <c r="L16" i="4"/>
  <c r="L15" i="4"/>
  <c r="K17" i="4"/>
  <c r="K16" i="4"/>
  <c r="K15" i="4"/>
  <c r="J18" i="4"/>
  <c r="J17" i="4"/>
  <c r="J16" i="4"/>
  <c r="J15" i="4"/>
  <c r="I19" i="4"/>
  <c r="I18" i="4"/>
  <c r="I17" i="4"/>
  <c r="I16" i="4"/>
  <c r="I15" i="4"/>
  <c r="E23" i="4"/>
  <c r="D23" i="4"/>
  <c r="C23" i="4"/>
  <c r="B23" i="4"/>
  <c r="A23" i="4"/>
  <c r="E19" i="4"/>
  <c r="D19" i="4"/>
  <c r="C19" i="4"/>
  <c r="B19" i="4"/>
  <c r="A19" i="4"/>
  <c r="U6" i="4"/>
  <c r="T7" i="4"/>
  <c r="T6" i="4"/>
  <c r="S8" i="4"/>
  <c r="S7" i="4"/>
  <c r="S6" i="4"/>
  <c r="R9" i="4"/>
  <c r="R8" i="4"/>
  <c r="R7" i="4"/>
  <c r="R6" i="4"/>
  <c r="Q10" i="4"/>
  <c r="Q9" i="4"/>
  <c r="Q8" i="4"/>
  <c r="Q7" i="4"/>
  <c r="Q6" i="4"/>
  <c r="A12" i="4"/>
  <c r="A9" i="4" a="1"/>
  <c r="C9" i="4" s="1"/>
  <c r="A5" i="4" a="1"/>
  <c r="D5" i="4" s="1"/>
  <c r="I5" i="4" a="1"/>
  <c r="H35" i="9" l="1"/>
  <c r="G35" i="9"/>
  <c r="E35" i="9"/>
  <c r="E64" i="6"/>
  <c r="A60" i="6"/>
  <c r="I26" i="6" s="1"/>
  <c r="B64" i="6"/>
  <c r="D64" i="6"/>
  <c r="L24" i="6" s="1"/>
  <c r="D60" i="6"/>
  <c r="B60" i="6"/>
  <c r="J26" i="6" s="1"/>
  <c r="C60" i="6"/>
  <c r="K24" i="6" s="1"/>
  <c r="H28" i="8"/>
  <c r="H35" i="8"/>
  <c r="H34" i="8"/>
  <c r="H26" i="8"/>
  <c r="H33" i="8"/>
  <c r="J27" i="8"/>
  <c r="J29" i="8"/>
  <c r="J31" i="8"/>
  <c r="J35" i="8"/>
  <c r="J25" i="8"/>
  <c r="I27" i="8"/>
  <c r="I26" i="8"/>
  <c r="J26" i="8"/>
  <c r="J32" i="8"/>
  <c r="J30" i="8"/>
  <c r="I30" i="8"/>
  <c r="I31" i="8"/>
  <c r="I35" i="8"/>
  <c r="J21" i="8"/>
  <c r="J23" i="8"/>
  <c r="J28" i="8"/>
  <c r="J33" i="8"/>
  <c r="J24" i="8"/>
  <c r="J22" i="8"/>
  <c r="I23" i="8"/>
  <c r="I21" i="8"/>
  <c r="K30" i="8"/>
  <c r="K29" i="8"/>
  <c r="I24" i="8"/>
  <c r="I28" i="8"/>
  <c r="I33" i="8"/>
  <c r="H27" i="8"/>
  <c r="H25" i="8"/>
  <c r="K31" i="8"/>
  <c r="I25" i="6"/>
  <c r="K32" i="8"/>
  <c r="K23" i="8"/>
  <c r="K22" i="8"/>
  <c r="K21" i="8"/>
  <c r="K24" i="8"/>
  <c r="K34" i="8"/>
  <c r="K33" i="8"/>
  <c r="K28" i="8"/>
  <c r="I32" i="8"/>
  <c r="I22" i="8"/>
  <c r="I25" i="8"/>
  <c r="I29" i="8"/>
  <c r="H23" i="8"/>
  <c r="H22" i="8"/>
  <c r="H32" i="8"/>
  <c r="K27" i="8"/>
  <c r="K26" i="8"/>
  <c r="K25" i="8"/>
  <c r="H31" i="8"/>
  <c r="H30" i="8"/>
  <c r="H29" i="8"/>
  <c r="H24" i="8"/>
  <c r="AC6" i="9"/>
  <c r="P26" i="8"/>
  <c r="Q24" i="8"/>
  <c r="P27" i="8"/>
  <c r="Q34" i="8"/>
  <c r="P34" i="8"/>
  <c r="P25" i="8"/>
  <c r="P24" i="8"/>
  <c r="R32" i="8"/>
  <c r="R29" i="8"/>
  <c r="R26" i="8"/>
  <c r="R21" i="8"/>
  <c r="R24" i="8"/>
  <c r="R23" i="8"/>
  <c r="R34" i="8"/>
  <c r="N23" i="8"/>
  <c r="S26" i="8"/>
  <c r="R31" i="8"/>
  <c r="R25" i="8"/>
  <c r="R27" i="8"/>
  <c r="R22" i="8"/>
  <c r="Q22" i="8"/>
  <c r="S33" i="8"/>
  <c r="L31" i="8"/>
  <c r="S24" i="8"/>
  <c r="R33" i="8"/>
  <c r="R28" i="8"/>
  <c r="R30" i="8"/>
  <c r="Q33" i="8"/>
  <c r="P21" i="8"/>
  <c r="P29" i="8"/>
  <c r="N26" i="8"/>
  <c r="L35" i="8"/>
  <c r="S27" i="8"/>
  <c r="P33" i="8"/>
  <c r="P23" i="8"/>
  <c r="P32" i="8"/>
  <c r="L33" i="8"/>
  <c r="L25" i="8"/>
  <c r="L34" i="8"/>
  <c r="L32" i="8"/>
  <c r="L24" i="8"/>
  <c r="L30" i="8"/>
  <c r="S29" i="8"/>
  <c r="P22" i="8"/>
  <c r="P31" i="8"/>
  <c r="P30" i="8"/>
  <c r="P28" i="8"/>
  <c r="O21" i="8"/>
  <c r="O22" i="8"/>
  <c r="O24" i="8"/>
  <c r="O34" i="8"/>
  <c r="O29" i="8"/>
  <c r="O31" i="8"/>
  <c r="N29" i="8"/>
  <c r="Q29" i="8"/>
  <c r="Q27" i="8"/>
  <c r="Q30" i="8"/>
  <c r="O33" i="8"/>
  <c r="O30" i="8"/>
  <c r="O32" i="8"/>
  <c r="O27" i="8"/>
  <c r="O25" i="8"/>
  <c r="O26" i="8"/>
  <c r="O28" i="8"/>
  <c r="O23" i="8"/>
  <c r="N30" i="8"/>
  <c r="N22" i="8"/>
  <c r="S34" i="8"/>
  <c r="S31" i="8"/>
  <c r="S22" i="8"/>
  <c r="S28" i="8"/>
  <c r="Q25" i="8"/>
  <c r="Q28" i="8"/>
  <c r="Q32" i="8"/>
  <c r="Q31" i="8"/>
  <c r="I24" i="6"/>
  <c r="S23" i="8"/>
  <c r="S21" i="8"/>
  <c r="N31" i="8"/>
  <c r="N21" i="8"/>
  <c r="S25" i="8"/>
  <c r="S30" i="8"/>
  <c r="S32" i="8"/>
  <c r="Q21" i="8"/>
  <c r="Q26" i="8"/>
  <c r="Q23" i="8"/>
  <c r="M25" i="8"/>
  <c r="M23" i="8"/>
  <c r="M34" i="8"/>
  <c r="M33" i="8"/>
  <c r="M31" i="8"/>
  <c r="M21" i="8"/>
  <c r="M26" i="8"/>
  <c r="M28" i="8"/>
  <c r="M24" i="8"/>
  <c r="M27" i="8"/>
  <c r="M30" i="8"/>
  <c r="M22" i="8"/>
  <c r="M29" i="8"/>
  <c r="M32" i="8"/>
  <c r="J27" i="6"/>
  <c r="L29" i="8"/>
  <c r="L27" i="8"/>
  <c r="A14" i="7"/>
  <c r="A4" i="7"/>
  <c r="A9" i="7"/>
  <c r="A7" i="7"/>
  <c r="A8" i="7"/>
  <c r="A13" i="7"/>
  <c r="A6" i="7"/>
  <c r="A11" i="7"/>
  <c r="A12" i="7"/>
  <c r="A10" i="7"/>
  <c r="A15" i="7"/>
  <c r="A5" i="7"/>
  <c r="N32" i="8"/>
  <c r="N25" i="8"/>
  <c r="N33" i="8"/>
  <c r="N27" i="8"/>
  <c r="I27" i="6"/>
  <c r="L21" i="8"/>
  <c r="A4" i="8" a="1"/>
  <c r="M24" i="6"/>
  <c r="L25" i="6"/>
  <c r="N35" i="8"/>
  <c r="N24" i="8"/>
  <c r="N28" i="8"/>
  <c r="L23" i="8"/>
  <c r="L28" i="8"/>
  <c r="B15" i="8"/>
  <c r="B11" i="8"/>
  <c r="B7" i="8"/>
  <c r="B6" i="8"/>
  <c r="B4" i="8"/>
  <c r="B13" i="8"/>
  <c r="B10" i="8"/>
  <c r="B12" i="8"/>
  <c r="B14" i="8"/>
  <c r="B5" i="8"/>
  <c r="B8" i="8"/>
  <c r="B9" i="8"/>
  <c r="L22" i="8"/>
  <c r="E27" i="8"/>
  <c r="F26" i="8"/>
  <c r="A26" i="8" s="1"/>
  <c r="Z7" i="8" s="1"/>
  <c r="AD6" i="8"/>
  <c r="C24" i="7"/>
  <c r="A24" i="7" s="1"/>
  <c r="A23" i="7"/>
  <c r="E40" i="4"/>
  <c r="J15" i="2"/>
  <c r="M15" i="2"/>
  <c r="L15" i="2"/>
  <c r="K15" i="2"/>
  <c r="C36" i="4"/>
  <c r="I15" i="2"/>
  <c r="H15" i="2"/>
  <c r="F15" i="2"/>
  <c r="G15" i="2"/>
  <c r="D36" i="4"/>
  <c r="C22" i="2"/>
  <c r="J26" i="5"/>
  <c r="K26" i="5"/>
  <c r="I26" i="5"/>
  <c r="J27" i="5"/>
  <c r="I27" i="5"/>
  <c r="L24" i="5"/>
  <c r="I24" i="5"/>
  <c r="K24" i="5"/>
  <c r="J24" i="5"/>
  <c r="M24" i="5"/>
  <c r="I28" i="5"/>
  <c r="L25" i="5"/>
  <c r="I25" i="5"/>
  <c r="K25" i="5"/>
  <c r="J25" i="5"/>
  <c r="B40" i="4"/>
  <c r="A36" i="4"/>
  <c r="E36" i="4"/>
  <c r="C40" i="4"/>
  <c r="B36" i="4"/>
  <c r="A29" i="4"/>
  <c r="C4" i="2" s="1"/>
  <c r="D40" i="4"/>
  <c r="A40" i="4"/>
  <c r="D9" i="4"/>
  <c r="A9" i="4"/>
  <c r="E9" i="4"/>
  <c r="B9" i="4"/>
  <c r="J5" i="4" s="1"/>
  <c r="C5" i="4"/>
  <c r="B5" i="4"/>
  <c r="E5" i="4"/>
  <c r="A5" i="4"/>
  <c r="K5" i="4"/>
  <c r="I23" i="4" a="1"/>
  <c r="L5" i="4"/>
  <c r="M5" i="4"/>
  <c r="I14" i="4" a="1"/>
  <c r="B23" i="1"/>
  <c r="D19" i="1"/>
  <c r="I5" i="1" a="1"/>
  <c r="J5" i="1" s="1"/>
  <c r="H6" i="1" a="1"/>
  <c r="H7" i="1" s="1"/>
  <c r="K35" i="9" l="1"/>
  <c r="J35" i="9"/>
  <c r="I35" i="9"/>
  <c r="D36" i="9"/>
  <c r="L35" i="9"/>
  <c r="A35" i="9"/>
  <c r="AD6" i="9" s="1"/>
  <c r="I28" i="6"/>
  <c r="J25" i="6"/>
  <c r="K26" i="6"/>
  <c r="J24" i="6"/>
  <c r="K25" i="6"/>
  <c r="C9" i="7"/>
  <c r="B9" i="7"/>
  <c r="A13" i="8"/>
  <c r="A9" i="8"/>
  <c r="A14" i="8"/>
  <c r="A6" i="8"/>
  <c r="A10" i="8"/>
  <c r="A11" i="8"/>
  <c r="A15" i="8"/>
  <c r="A7" i="8"/>
  <c r="A5" i="8"/>
  <c r="A4" i="8"/>
  <c r="A12" i="8"/>
  <c r="A8" i="8"/>
  <c r="C5" i="7"/>
  <c r="B5" i="7"/>
  <c r="C11" i="7"/>
  <c r="B11" i="7"/>
  <c r="C7" i="7"/>
  <c r="B7" i="7"/>
  <c r="B15" i="7"/>
  <c r="C15" i="7"/>
  <c r="C6" i="7"/>
  <c r="B6" i="7"/>
  <c r="C10" i="7"/>
  <c r="B10" i="7"/>
  <c r="B13" i="7"/>
  <c r="C13" i="7"/>
  <c r="C4" i="7"/>
  <c r="B4" i="7"/>
  <c r="C12" i="7"/>
  <c r="B12" i="7"/>
  <c r="C8" i="7"/>
  <c r="B8" i="7"/>
  <c r="C14" i="7"/>
  <c r="B14" i="7"/>
  <c r="F27" i="8"/>
  <c r="B25" i="7"/>
  <c r="Z6" i="7"/>
  <c r="AA6" i="7"/>
  <c r="M31" i="2"/>
  <c r="M18" i="2"/>
  <c r="M22" i="2"/>
  <c r="M26" i="2"/>
  <c r="M30" i="2"/>
  <c r="M19" i="2"/>
  <c r="M23" i="2"/>
  <c r="M27" i="2"/>
  <c r="M20" i="2"/>
  <c r="M24" i="2"/>
  <c r="M28" i="2"/>
  <c r="M17" i="2"/>
  <c r="M21" i="2"/>
  <c r="M25" i="2"/>
  <c r="M29" i="2"/>
  <c r="J21" i="2"/>
  <c r="J25" i="2"/>
  <c r="J29" i="2"/>
  <c r="J18" i="2"/>
  <c r="J22" i="2"/>
  <c r="J26" i="2"/>
  <c r="J30" i="2"/>
  <c r="J17" i="2"/>
  <c r="J19" i="2"/>
  <c r="J23" i="2"/>
  <c r="J27" i="2"/>
  <c r="J31" i="2"/>
  <c r="J20" i="2"/>
  <c r="J24" i="2"/>
  <c r="J28" i="2"/>
  <c r="K31" i="2"/>
  <c r="K24" i="2"/>
  <c r="K19" i="2"/>
  <c r="K27" i="2"/>
  <c r="K18" i="2"/>
  <c r="K26" i="2"/>
  <c r="K21" i="2"/>
  <c r="K28" i="2"/>
  <c r="K20" i="2"/>
  <c r="K30" i="2"/>
  <c r="K23" i="2"/>
  <c r="K29" i="2"/>
  <c r="K22" i="2"/>
  <c r="K17" i="2"/>
  <c r="K25" i="2"/>
  <c r="L19" i="2"/>
  <c r="L18" i="2"/>
  <c r="L23" i="2"/>
  <c r="L27" i="2"/>
  <c r="L31" i="2"/>
  <c r="L20" i="2"/>
  <c r="L24" i="2"/>
  <c r="L28" i="2"/>
  <c r="L21" i="2"/>
  <c r="L25" i="2"/>
  <c r="L29" i="2"/>
  <c r="L17" i="2"/>
  <c r="L22" i="2"/>
  <c r="L26" i="2"/>
  <c r="L30" i="2"/>
  <c r="G20" i="2"/>
  <c r="G24" i="2"/>
  <c r="G28" i="2"/>
  <c r="G17" i="2"/>
  <c r="G25" i="2"/>
  <c r="G18" i="2"/>
  <c r="G26" i="2"/>
  <c r="G19" i="2"/>
  <c r="G23" i="2"/>
  <c r="G27" i="2"/>
  <c r="G31" i="2"/>
  <c r="G21" i="2"/>
  <c r="G29" i="2"/>
  <c r="G22" i="2"/>
  <c r="G30" i="2"/>
  <c r="F18" i="2"/>
  <c r="F22" i="2"/>
  <c r="F26" i="2"/>
  <c r="F30" i="2"/>
  <c r="F23" i="2"/>
  <c r="F27" i="2"/>
  <c r="F24" i="2"/>
  <c r="F17" i="2"/>
  <c r="F21" i="2"/>
  <c r="F25" i="2"/>
  <c r="F29" i="2"/>
  <c r="A5" i="2" a="1"/>
  <c r="F19" i="2"/>
  <c r="F31" i="2"/>
  <c r="F20" i="2"/>
  <c r="F28" i="2"/>
  <c r="H31" i="2"/>
  <c r="H17" i="2"/>
  <c r="H21" i="2"/>
  <c r="H25" i="2"/>
  <c r="H29" i="2"/>
  <c r="H18" i="2"/>
  <c r="H26" i="2"/>
  <c r="H19" i="2"/>
  <c r="H27" i="2"/>
  <c r="H20" i="2"/>
  <c r="H24" i="2"/>
  <c r="H28" i="2"/>
  <c r="H22" i="2"/>
  <c r="H30" i="2"/>
  <c r="H23" i="2"/>
  <c r="I31" i="2"/>
  <c r="I19" i="2"/>
  <c r="I23" i="2"/>
  <c r="I27" i="2"/>
  <c r="I20" i="2"/>
  <c r="I28" i="2"/>
  <c r="I21" i="2"/>
  <c r="I29" i="2"/>
  <c r="I18" i="2"/>
  <c r="I22" i="2"/>
  <c r="I26" i="2"/>
  <c r="I30" i="2"/>
  <c r="I24" i="2"/>
  <c r="I17" i="2"/>
  <c r="I25" i="2"/>
  <c r="B23" i="2"/>
  <c r="R15" i="5"/>
  <c r="R18" i="5"/>
  <c r="Q28" i="5"/>
  <c r="Q24" i="5"/>
  <c r="Q18" i="5"/>
  <c r="R26" i="5"/>
  <c r="R25" i="5"/>
  <c r="Q19" i="5"/>
  <c r="T15" i="5"/>
  <c r="S15" i="5"/>
  <c r="Q17" i="5"/>
  <c r="Q16" i="5"/>
  <c r="R17" i="5"/>
  <c r="T16" i="5"/>
  <c r="S25" i="5"/>
  <c r="Q15" i="5"/>
  <c r="R16" i="5"/>
  <c r="S17" i="5"/>
  <c r="R27" i="5"/>
  <c r="Q27" i="5"/>
  <c r="U15" i="5"/>
  <c r="S16" i="5"/>
  <c r="I23" i="4"/>
  <c r="I5" i="4"/>
  <c r="H6" i="4" a="1"/>
  <c r="L14" i="4"/>
  <c r="K14" i="4"/>
  <c r="J14" i="4"/>
  <c r="M14" i="4"/>
  <c r="I14" i="4"/>
  <c r="L23" i="4"/>
  <c r="K23" i="4"/>
  <c r="J23" i="4"/>
  <c r="M23" i="4"/>
  <c r="I5" i="1"/>
  <c r="I7" i="1" s="1"/>
  <c r="C23" i="1"/>
  <c r="A19" i="1"/>
  <c r="E19" i="1"/>
  <c r="D23" i="1"/>
  <c r="B19" i="1"/>
  <c r="A23" i="1"/>
  <c r="E23" i="1"/>
  <c r="C19" i="1"/>
  <c r="M5" i="1"/>
  <c r="L5" i="1"/>
  <c r="L7" i="1" s="1"/>
  <c r="J7" i="1"/>
  <c r="K5" i="1"/>
  <c r="H10" i="1"/>
  <c r="H6" i="1"/>
  <c r="H9" i="1"/>
  <c r="J9" i="1" s="1"/>
  <c r="H8" i="1"/>
  <c r="L36" i="9" l="1"/>
  <c r="G36" i="9"/>
  <c r="H36" i="9"/>
  <c r="E36" i="9"/>
  <c r="D37" i="9"/>
  <c r="E10" i="8"/>
  <c r="C10" i="8"/>
  <c r="D10" i="8"/>
  <c r="C8" i="8"/>
  <c r="E8" i="8"/>
  <c r="D8" i="8"/>
  <c r="C7" i="8"/>
  <c r="D7" i="8"/>
  <c r="E7" i="8"/>
  <c r="C6" i="8"/>
  <c r="E6" i="8"/>
  <c r="D6" i="8"/>
  <c r="C4" i="8"/>
  <c r="E4" i="8"/>
  <c r="D4" i="8"/>
  <c r="D11" i="8"/>
  <c r="E11" i="8"/>
  <c r="C11" i="8"/>
  <c r="D9" i="8"/>
  <c r="F9" i="8" s="1"/>
  <c r="E9" i="8"/>
  <c r="C9" i="8"/>
  <c r="E5" i="8"/>
  <c r="C5" i="8"/>
  <c r="D5" i="8"/>
  <c r="E13" i="8"/>
  <c r="D13" i="8"/>
  <c r="C13" i="8"/>
  <c r="E19" i="7" a="1"/>
  <c r="R20" i="7" a="1"/>
  <c r="C12" i="8"/>
  <c r="E12" i="8"/>
  <c r="D12" i="8"/>
  <c r="E15" i="8"/>
  <c r="D15" i="8"/>
  <c r="C15" i="8"/>
  <c r="E14" i="8"/>
  <c r="C14" i="8"/>
  <c r="D14" i="8"/>
  <c r="F14" i="8" s="1"/>
  <c r="E28" i="8"/>
  <c r="A27" i="8"/>
  <c r="C25" i="7"/>
  <c r="A12" i="2"/>
  <c r="A10" i="2"/>
  <c r="A7" i="2"/>
  <c r="A5" i="2"/>
  <c r="A11" i="2"/>
  <c r="A9" i="2"/>
  <c r="A8" i="2"/>
  <c r="A6" i="2"/>
  <c r="C23" i="2"/>
  <c r="B24" i="2" s="1"/>
  <c r="T24" i="5"/>
  <c r="U24" i="5"/>
  <c r="T25" i="5"/>
  <c r="S24" i="5"/>
  <c r="S26" i="5"/>
  <c r="R24" i="5"/>
  <c r="Q25" i="5"/>
  <c r="Q26" i="5"/>
  <c r="H10" i="4"/>
  <c r="I10" i="4" s="1"/>
  <c r="H9" i="4"/>
  <c r="H6" i="4"/>
  <c r="H7" i="4"/>
  <c r="H8" i="4"/>
  <c r="H24" i="4" a="1"/>
  <c r="H15" i="4" a="1"/>
  <c r="I6" i="1"/>
  <c r="I10" i="1"/>
  <c r="I8" i="1"/>
  <c r="I14" i="1" a="1"/>
  <c r="J14" i="1" s="1"/>
  <c r="I14" i="1"/>
  <c r="A40" i="1"/>
  <c r="A29" i="1"/>
  <c r="A36" i="1"/>
  <c r="D36" i="1"/>
  <c r="B36" i="1"/>
  <c r="K14" i="1"/>
  <c r="C40" i="1"/>
  <c r="B40" i="1"/>
  <c r="C36" i="1"/>
  <c r="L14" i="1"/>
  <c r="D40" i="1"/>
  <c r="M14" i="1"/>
  <c r="E40" i="1"/>
  <c r="E36" i="1"/>
  <c r="H15" i="1" a="1"/>
  <c r="H18" i="1" s="1"/>
  <c r="J8" i="1"/>
  <c r="I9" i="1"/>
  <c r="M6" i="1"/>
  <c r="J6" i="1"/>
  <c r="L6" i="1"/>
  <c r="K7" i="1"/>
  <c r="K6" i="1"/>
  <c r="K8" i="1"/>
  <c r="L37" i="9" l="1"/>
  <c r="G37" i="9"/>
  <c r="H37" i="9"/>
  <c r="K36" i="9"/>
  <c r="J36" i="9"/>
  <c r="I36" i="9"/>
  <c r="A36" i="9"/>
  <c r="AE6" i="9" s="1"/>
  <c r="E37" i="9"/>
  <c r="F4" i="8"/>
  <c r="F5" i="8"/>
  <c r="H20" i="8" a="1"/>
  <c r="F15" i="8"/>
  <c r="F8" i="8"/>
  <c r="G8" i="9" s="1"/>
  <c r="F10" i="8"/>
  <c r="G9" i="9" s="1"/>
  <c r="O19" i="7"/>
  <c r="G19" i="7"/>
  <c r="N19" i="7"/>
  <c r="I19" i="7"/>
  <c r="M19" i="7"/>
  <c r="F19" i="7"/>
  <c r="H19" i="7"/>
  <c r="E19" i="7"/>
  <c r="P19" i="7"/>
  <c r="L19" i="7"/>
  <c r="K19" i="7"/>
  <c r="J19" i="7"/>
  <c r="F13" i="8"/>
  <c r="F11" i="8"/>
  <c r="G10" i="9" s="1"/>
  <c r="F6" i="8"/>
  <c r="F7" i="8"/>
  <c r="R25" i="7"/>
  <c r="S25" i="7" s="1"/>
  <c r="R24" i="7"/>
  <c r="S24" i="7" s="1"/>
  <c r="R29" i="7"/>
  <c r="S29" i="7" s="1"/>
  <c r="R32" i="7"/>
  <c r="S32" i="7" s="1"/>
  <c r="R28" i="7"/>
  <c r="S28" i="7" s="1"/>
  <c r="R22" i="7"/>
  <c r="S22" i="7" s="1"/>
  <c r="R23" i="7"/>
  <c r="S23" i="7" s="1"/>
  <c r="R26" i="7"/>
  <c r="S26" i="7" s="1"/>
  <c r="R33" i="7"/>
  <c r="S33" i="7" s="1"/>
  <c r="R31" i="7"/>
  <c r="S31" i="7" s="1"/>
  <c r="R30" i="7"/>
  <c r="S30" i="7" s="1"/>
  <c r="R27" i="7"/>
  <c r="S27" i="7" s="1"/>
  <c r="R34" i="7"/>
  <c r="S34" i="7" s="1"/>
  <c r="R20" i="7"/>
  <c r="S20" i="7" s="1"/>
  <c r="R21" i="7"/>
  <c r="S21" i="7" s="1"/>
  <c r="F12" i="8"/>
  <c r="AA7" i="8"/>
  <c r="F28" i="8"/>
  <c r="B10" i="2"/>
  <c r="C10" i="2"/>
  <c r="B11" i="2"/>
  <c r="C11" i="2"/>
  <c r="B12" i="2"/>
  <c r="C12" i="2"/>
  <c r="B9" i="2"/>
  <c r="C9" i="2"/>
  <c r="B8" i="2"/>
  <c r="C8" i="2"/>
  <c r="B7" i="2"/>
  <c r="C7" i="2"/>
  <c r="B6" i="2"/>
  <c r="C6" i="2"/>
  <c r="B5" i="2"/>
  <c r="C5" i="2"/>
  <c r="B26" i="7"/>
  <c r="A25" i="7"/>
  <c r="C24" i="2"/>
  <c r="J9" i="4"/>
  <c r="I9" i="4"/>
  <c r="K8" i="4"/>
  <c r="J8" i="4"/>
  <c r="I8" i="4"/>
  <c r="K7" i="4"/>
  <c r="J7" i="4"/>
  <c r="L7" i="4"/>
  <c r="I7" i="4"/>
  <c r="L6" i="4"/>
  <c r="I6" i="4"/>
  <c r="M6" i="4"/>
  <c r="K6" i="4"/>
  <c r="J6" i="4"/>
  <c r="H24" i="4"/>
  <c r="H25" i="4"/>
  <c r="H26" i="4"/>
  <c r="H28" i="4"/>
  <c r="H27" i="4"/>
  <c r="H19" i="4"/>
  <c r="Q19" i="4" s="1"/>
  <c r="H17" i="4"/>
  <c r="H16" i="4"/>
  <c r="H15" i="4"/>
  <c r="H18" i="4"/>
  <c r="I23" i="1" a="1"/>
  <c r="M23" i="1" s="1"/>
  <c r="J23" i="1"/>
  <c r="H17" i="1"/>
  <c r="J17" i="1" s="1"/>
  <c r="H24" i="1" a="1"/>
  <c r="H19" i="1"/>
  <c r="I19" i="1" s="1"/>
  <c r="Q19" i="1" s="1"/>
  <c r="J18" i="1"/>
  <c r="R18" i="1" s="1"/>
  <c r="I18" i="1"/>
  <c r="Q18" i="1" s="1"/>
  <c r="R17" i="1"/>
  <c r="H16" i="1"/>
  <c r="H15" i="1"/>
  <c r="I15" i="1" s="1"/>
  <c r="Q15" i="1" s="1"/>
  <c r="K17" i="1"/>
  <c r="S17" i="1" s="1"/>
  <c r="I17" i="1"/>
  <c r="Q17" i="1" s="1"/>
  <c r="D38" i="9" l="1"/>
  <c r="E38" i="9" s="1"/>
  <c r="K37" i="9"/>
  <c r="J37" i="9"/>
  <c r="I37" i="9"/>
  <c r="G6" i="9"/>
  <c r="G7" i="9"/>
  <c r="A37" i="9"/>
  <c r="AA7" i="9" s="1"/>
  <c r="E16" i="2" a="1"/>
  <c r="E16" i="2" s="1"/>
  <c r="G11" i="9"/>
  <c r="K20" i="8"/>
  <c r="O20" i="8"/>
  <c r="S20" i="8"/>
  <c r="L20" i="8"/>
  <c r="I20" i="8"/>
  <c r="M20" i="8"/>
  <c r="Q20" i="8"/>
  <c r="J20" i="8"/>
  <c r="N20" i="8"/>
  <c r="R20" i="8"/>
  <c r="H20" i="8"/>
  <c r="P20" i="8"/>
  <c r="U21" i="8" a="1"/>
  <c r="U32" i="8" s="1"/>
  <c r="I16" i="2"/>
  <c r="E29" i="8"/>
  <c r="A28" i="8"/>
  <c r="O17" i="2" a="1"/>
  <c r="O22" i="2" s="1"/>
  <c r="P22" i="2" s="1"/>
  <c r="G7" i="2" s="1"/>
  <c r="O7" i="2" s="1"/>
  <c r="C26" i="7"/>
  <c r="B27" i="7" s="1"/>
  <c r="C27" i="7" s="1"/>
  <c r="F16" i="2"/>
  <c r="W7" i="7"/>
  <c r="B25" i="2"/>
  <c r="M24" i="4"/>
  <c r="K24" i="4"/>
  <c r="J24" i="4"/>
  <c r="L24" i="4"/>
  <c r="I24" i="4"/>
  <c r="K25" i="4"/>
  <c r="J25" i="4"/>
  <c r="L25" i="4"/>
  <c r="I25" i="4"/>
  <c r="I27" i="4"/>
  <c r="J27" i="4"/>
  <c r="I28" i="4"/>
  <c r="K26" i="4"/>
  <c r="J26" i="4"/>
  <c r="I26" i="4"/>
  <c r="Q15" i="4"/>
  <c r="T15" i="4"/>
  <c r="R15" i="4"/>
  <c r="U15" i="4"/>
  <c r="S15" i="4"/>
  <c r="Q16" i="4"/>
  <c r="T16" i="4"/>
  <c r="S16" i="4"/>
  <c r="R16" i="4"/>
  <c r="Q17" i="4"/>
  <c r="R17" i="4"/>
  <c r="S17" i="4"/>
  <c r="T25" i="4"/>
  <c r="R25" i="4"/>
  <c r="Q18" i="4"/>
  <c r="R18" i="4"/>
  <c r="R27" i="4"/>
  <c r="R24" i="4"/>
  <c r="K23" i="1"/>
  <c r="I23" i="1"/>
  <c r="L23" i="1"/>
  <c r="H25" i="1"/>
  <c r="H27" i="1"/>
  <c r="H26" i="1"/>
  <c r="H28" i="1"/>
  <c r="H24" i="1"/>
  <c r="L15" i="1"/>
  <c r="T15" i="1" s="1"/>
  <c r="K15" i="1"/>
  <c r="S15" i="1" s="1"/>
  <c r="M15" i="1"/>
  <c r="U15" i="1" s="1"/>
  <c r="J15" i="1"/>
  <c r="R15" i="1" s="1"/>
  <c r="I16" i="1"/>
  <c r="Q16" i="1" s="1"/>
  <c r="L16" i="1"/>
  <c r="T16" i="1" s="1"/>
  <c r="K16" i="1"/>
  <c r="S16" i="1" s="1"/>
  <c r="J16" i="1"/>
  <c r="R16" i="1" s="1"/>
  <c r="I38" i="9" l="1"/>
  <c r="J38" i="9"/>
  <c r="K38" i="9"/>
  <c r="L38" i="9"/>
  <c r="G38" i="9"/>
  <c r="H38" i="9"/>
  <c r="D39" i="9"/>
  <c r="A38" i="9"/>
  <c r="J16" i="2"/>
  <c r="H16" i="2"/>
  <c r="G16" i="2"/>
  <c r="K16" i="2"/>
  <c r="L16" i="2"/>
  <c r="M16" i="2"/>
  <c r="U26" i="8"/>
  <c r="U22" i="8"/>
  <c r="U33" i="8"/>
  <c r="U27" i="8"/>
  <c r="U34" i="8"/>
  <c r="U31" i="8"/>
  <c r="U23" i="8"/>
  <c r="U21" i="8"/>
  <c r="U25" i="8"/>
  <c r="U30" i="8"/>
  <c r="U28" i="8"/>
  <c r="U29" i="8"/>
  <c r="U35" i="8"/>
  <c r="U24" i="8"/>
  <c r="AB7" i="8"/>
  <c r="E30" i="8"/>
  <c r="F29" i="8"/>
  <c r="O28" i="2"/>
  <c r="P28" i="2" s="1"/>
  <c r="I8" i="2" s="1"/>
  <c r="Q8" i="2" s="1"/>
  <c r="O17" i="2"/>
  <c r="P17" i="2" s="1"/>
  <c r="G6" i="2" s="1"/>
  <c r="O6" i="2" s="1"/>
  <c r="O30" i="2"/>
  <c r="P30" i="2" s="1"/>
  <c r="H9" i="2" s="1"/>
  <c r="P9" i="2" s="1"/>
  <c r="O29" i="2"/>
  <c r="P29" i="2" s="1"/>
  <c r="G9" i="2" s="1"/>
  <c r="O9" i="2" s="1"/>
  <c r="O27" i="2"/>
  <c r="P27" i="2" s="1"/>
  <c r="H8" i="2" s="1"/>
  <c r="P8" i="2" s="1"/>
  <c r="O19" i="2"/>
  <c r="P19" i="2" s="1"/>
  <c r="I6" i="2" s="1"/>
  <c r="Q6" i="2" s="1"/>
  <c r="O21" i="2"/>
  <c r="P21" i="2" s="1"/>
  <c r="K6" i="2" s="1"/>
  <c r="S6" i="2" s="1"/>
  <c r="O31" i="2"/>
  <c r="P31" i="2" s="1"/>
  <c r="G10" i="2" s="1"/>
  <c r="O10" i="2" s="1"/>
  <c r="O26" i="2"/>
  <c r="P26" i="2" s="1"/>
  <c r="G8" i="2" s="1"/>
  <c r="O8" i="2" s="1"/>
  <c r="O18" i="2"/>
  <c r="P18" i="2" s="1"/>
  <c r="H6" i="2" s="1"/>
  <c r="P6" i="2" s="1"/>
  <c r="O20" i="2"/>
  <c r="P20" i="2" s="1"/>
  <c r="J6" i="2" s="1"/>
  <c r="R6" i="2" s="1"/>
  <c r="O25" i="2"/>
  <c r="P25" i="2" s="1"/>
  <c r="J7" i="2" s="1"/>
  <c r="R7" i="2" s="1"/>
  <c r="O23" i="2"/>
  <c r="P23" i="2" s="1"/>
  <c r="H7" i="2" s="1"/>
  <c r="P7" i="2" s="1"/>
  <c r="O24" i="2"/>
  <c r="P24" i="2" s="1"/>
  <c r="I7" i="2" s="1"/>
  <c r="Q7" i="2" s="1"/>
  <c r="A26" i="7"/>
  <c r="X7" i="7" s="1"/>
  <c r="A27" i="7"/>
  <c r="B28" i="7"/>
  <c r="C25" i="2"/>
  <c r="B26" i="2" s="1"/>
  <c r="Q27" i="4"/>
  <c r="S25" i="4"/>
  <c r="S24" i="4"/>
  <c r="S26" i="4"/>
  <c r="Q28" i="4"/>
  <c r="T24" i="4"/>
  <c r="Q26" i="4"/>
  <c r="R26" i="4"/>
  <c r="Q25" i="4"/>
  <c r="Q24" i="4"/>
  <c r="U24" i="4"/>
  <c r="I28" i="1"/>
  <c r="Q28" i="1" s="1"/>
  <c r="J27" i="1"/>
  <c r="R27" i="1" s="1"/>
  <c r="I27" i="1"/>
  <c r="Q27" i="1" s="1"/>
  <c r="I24" i="1"/>
  <c r="Q24" i="1" s="1"/>
  <c r="K24" i="1"/>
  <c r="S24" i="1" s="1"/>
  <c r="J24" i="1"/>
  <c r="R24" i="1" s="1"/>
  <c r="L24" i="1"/>
  <c r="T24" i="1" s="1"/>
  <c r="M24" i="1"/>
  <c r="U24" i="1" s="1"/>
  <c r="J25" i="1"/>
  <c r="R25" i="1" s="1"/>
  <c r="K25" i="1"/>
  <c r="S25" i="1" s="1"/>
  <c r="L25" i="1"/>
  <c r="T25" i="1" s="1"/>
  <c r="I25" i="1"/>
  <c r="Q25" i="1" s="1"/>
  <c r="J26" i="1"/>
  <c r="R26" i="1" s="1"/>
  <c r="K26" i="1"/>
  <c r="S26" i="1" s="1"/>
  <c r="I26" i="1"/>
  <c r="Q26" i="1" s="1"/>
  <c r="L39" i="9" l="1"/>
  <c r="G39" i="9"/>
  <c r="H39" i="9"/>
  <c r="E39" i="9"/>
  <c r="D40" i="9"/>
  <c r="A29" i="8"/>
  <c r="F30" i="8"/>
  <c r="C28" i="7"/>
  <c r="C26" i="2"/>
  <c r="B27" i="2" s="1"/>
  <c r="Q26" i="6"/>
  <c r="Q19" i="6"/>
  <c r="S15" i="6"/>
  <c r="R18" i="6"/>
  <c r="Q18" i="6"/>
  <c r="Q15" i="6"/>
  <c r="S16" i="6"/>
  <c r="T15" i="6"/>
  <c r="R15" i="6"/>
  <c r="Q16" i="6"/>
  <c r="T16" i="6"/>
  <c r="R17" i="6"/>
  <c r="I39" i="9" l="1"/>
  <c r="J39" i="9"/>
  <c r="K39" i="9"/>
  <c r="G40" i="9"/>
  <c r="H40" i="9"/>
  <c r="A39" i="9"/>
  <c r="E40" i="9"/>
  <c r="D41" i="9" s="1"/>
  <c r="E31" i="8"/>
  <c r="A30" i="8"/>
  <c r="B29" i="7"/>
  <c r="A28" i="7"/>
  <c r="C27" i="2"/>
  <c r="B28" i="2" s="1"/>
  <c r="T25" i="6"/>
  <c r="S26" i="6"/>
  <c r="R27" i="6"/>
  <c r="U24" i="6"/>
  <c r="Q24" i="6"/>
  <c r="S24" i="6"/>
  <c r="R24" i="6"/>
  <c r="R25" i="6"/>
  <c r="R26" i="6"/>
  <c r="Q28" i="6"/>
  <c r="Q25" i="6"/>
  <c r="Q27" i="6"/>
  <c r="S25" i="6"/>
  <c r="T24" i="6"/>
  <c r="U15" i="6"/>
  <c r="Q17" i="6"/>
  <c r="S17" i="6"/>
  <c r="R16" i="6"/>
  <c r="L41" i="9" l="1"/>
  <c r="G41" i="9"/>
  <c r="H41" i="9"/>
  <c r="L40" i="9"/>
  <c r="K40" i="9"/>
  <c r="I40" i="9"/>
  <c r="J40" i="9"/>
  <c r="E41" i="9"/>
  <c r="A40" i="9"/>
  <c r="F31" i="8"/>
  <c r="E32" i="8" s="1"/>
  <c r="F32" i="8" s="1"/>
  <c r="C29" i="7"/>
  <c r="B30" i="7" s="1"/>
  <c r="C30" i="7" s="1"/>
  <c r="C28" i="2"/>
  <c r="K41" i="9" l="1"/>
  <c r="J41" i="9"/>
  <c r="I41" i="9"/>
  <c r="D42" i="9"/>
  <c r="A41" i="9"/>
  <c r="A31" i="8"/>
  <c r="A32" i="8"/>
  <c r="E33" i="8"/>
  <c r="F33" i="8"/>
  <c r="A29" i="7"/>
  <c r="A30" i="7"/>
  <c r="B31" i="7"/>
  <c r="C31" i="7"/>
  <c r="B29" i="2"/>
  <c r="L42" i="9" l="1"/>
  <c r="G42" i="9"/>
  <c r="H42" i="9"/>
  <c r="E42" i="9"/>
  <c r="D43" i="9"/>
  <c r="A33" i="8"/>
  <c r="E34" i="8"/>
  <c r="F34" i="8" s="1"/>
  <c r="A31" i="7"/>
  <c r="B32" i="7"/>
  <c r="C32" i="7" s="1"/>
  <c r="C29" i="2"/>
  <c r="B30" i="2" s="1"/>
  <c r="L43" i="9" l="1"/>
  <c r="G43" i="9"/>
  <c r="H43" i="9"/>
  <c r="I42" i="9"/>
  <c r="K42" i="9"/>
  <c r="J42" i="9"/>
  <c r="A42" i="9"/>
  <c r="E43" i="9"/>
  <c r="A34" i="8"/>
  <c r="E35" i="8"/>
  <c r="F35" i="8"/>
  <c r="A32" i="7"/>
  <c r="B33" i="7"/>
  <c r="C33" i="7"/>
  <c r="C30" i="2"/>
  <c r="I43" i="9" l="1"/>
  <c r="K43" i="9"/>
  <c r="J43" i="9"/>
  <c r="A43" i="9"/>
  <c r="D44" i="9"/>
  <c r="A35" i="8"/>
  <c r="A33" i="7"/>
  <c r="B34" i="7"/>
  <c r="B31" i="2"/>
  <c r="L44" i="9" l="1"/>
  <c r="G44" i="9"/>
  <c r="H44" i="9"/>
  <c r="E44" i="9"/>
  <c r="A44" i="9"/>
  <c r="V24" i="8"/>
  <c r="M6" i="8" s="1"/>
  <c r="U6" i="8" s="1"/>
  <c r="Z9" i="8"/>
  <c r="AA9" i="8"/>
  <c r="AA8" i="8"/>
  <c r="Z10" i="8"/>
  <c r="AC7" i="8"/>
  <c r="AB8" i="8"/>
  <c r="Z8" i="8"/>
  <c r="C34" i="7"/>
  <c r="C31" i="2"/>
  <c r="I44" i="9" l="1"/>
  <c r="K44" i="9"/>
  <c r="J44" i="9"/>
  <c r="D45" i="9"/>
  <c r="AC8" i="9"/>
  <c r="AB8" i="9"/>
  <c r="AB7" i="9"/>
  <c r="AA8" i="9"/>
  <c r="AA9" i="9"/>
  <c r="AC7" i="9"/>
  <c r="AD7" i="9"/>
  <c r="V27" i="8"/>
  <c r="K7" i="8" s="1"/>
  <c r="S7" i="8" s="1"/>
  <c r="V34" i="8"/>
  <c r="K9" i="8" s="1"/>
  <c r="S9" i="8" s="1"/>
  <c r="V28" i="8"/>
  <c r="L7" i="8" s="1"/>
  <c r="T7" i="8" s="1"/>
  <c r="V35" i="8"/>
  <c r="J10" i="8" s="1"/>
  <c r="R10" i="8" s="1"/>
  <c r="V25" i="8"/>
  <c r="N6" i="8" s="1"/>
  <c r="V6" i="8" s="1"/>
  <c r="V32" i="8"/>
  <c r="L8" i="8" s="1"/>
  <c r="T8" i="8" s="1"/>
  <c r="V30" i="8"/>
  <c r="J8" i="8" s="1"/>
  <c r="R8" i="8" s="1"/>
  <c r="V29" i="8"/>
  <c r="M7" i="8" s="1"/>
  <c r="U7" i="8" s="1"/>
  <c r="V31" i="8"/>
  <c r="K8" i="8" s="1"/>
  <c r="S8" i="8" s="1"/>
  <c r="V26" i="8"/>
  <c r="J7" i="8" s="1"/>
  <c r="R7" i="8" s="1"/>
  <c r="V33" i="8"/>
  <c r="J9" i="8" s="1"/>
  <c r="R9" i="8" s="1"/>
  <c r="V23" i="8"/>
  <c r="L6" i="8" s="1"/>
  <c r="T6" i="8" s="1"/>
  <c r="V22" i="8"/>
  <c r="K6" i="8" s="1"/>
  <c r="S6" i="8" s="1"/>
  <c r="V21" i="8"/>
  <c r="J6" i="8" s="1"/>
  <c r="R6" i="8" s="1"/>
  <c r="A34" i="7"/>
  <c r="G45" i="9" l="1"/>
  <c r="L45" i="9"/>
  <c r="H45" i="9"/>
  <c r="E45" i="9"/>
  <c r="K6" i="7"/>
  <c r="S6" i="7" s="1"/>
  <c r="Y7" i="7"/>
  <c r="Z7" i="7"/>
  <c r="W9" i="7"/>
  <c r="X8" i="7"/>
  <c r="Y8" i="7"/>
  <c r="X9" i="7"/>
  <c r="W10" i="7"/>
  <c r="W8" i="7"/>
  <c r="J45" i="9" l="1"/>
  <c r="I45" i="9"/>
  <c r="K45" i="9"/>
  <c r="D46" i="9"/>
  <c r="A45" i="9"/>
  <c r="AB9" i="9" s="1"/>
  <c r="H7" i="7"/>
  <c r="P7" i="7" s="1"/>
  <c r="H9" i="7"/>
  <c r="P9" i="7" s="1"/>
  <c r="G7" i="7"/>
  <c r="O7" i="7" s="1"/>
  <c r="J7" i="7"/>
  <c r="R7" i="7" s="1"/>
  <c r="I8" i="7"/>
  <c r="Q8" i="7" s="1"/>
  <c r="J6" i="7"/>
  <c r="R6" i="7" s="1"/>
  <c r="H8" i="7"/>
  <c r="P8" i="7" s="1"/>
  <c r="G9" i="7"/>
  <c r="O9" i="7" s="1"/>
  <c r="I6" i="7"/>
  <c r="Q6" i="7" s="1"/>
  <c r="G8" i="7"/>
  <c r="O8" i="7" s="1"/>
  <c r="G6" i="7"/>
  <c r="O6" i="7" s="1"/>
  <c r="H6" i="7"/>
  <c r="P6" i="7" s="1"/>
  <c r="I7" i="7"/>
  <c r="Q7" i="7" s="1"/>
  <c r="G10" i="7"/>
  <c r="O10" i="7" s="1"/>
  <c r="L46" i="9" l="1"/>
  <c r="G46" i="9"/>
  <c r="H46" i="9"/>
  <c r="E46" i="9"/>
  <c r="A46" i="9"/>
  <c r="AA10" i="9" s="1"/>
  <c r="J46" i="9" l="1"/>
  <c r="K46" i="9"/>
  <c r="I46" i="9"/>
  <c r="N32" i="9" l="1" a="1"/>
  <c r="N35" i="9" s="1"/>
  <c r="O35" i="9" s="1"/>
  <c r="N6" i="9" s="1"/>
  <c r="V6" i="9" s="1"/>
  <c r="N40" i="9" l="1"/>
  <c r="O40" i="9" s="1"/>
  <c r="N7" i="9" s="1"/>
  <c r="V7" i="9" s="1"/>
  <c r="N33" i="9"/>
  <c r="O33" i="9" s="1"/>
  <c r="L6" i="9" s="1"/>
  <c r="T6" i="9" s="1"/>
  <c r="N39" i="9"/>
  <c r="O39" i="9" s="1"/>
  <c r="M7" i="9" s="1"/>
  <c r="U7" i="9" s="1"/>
  <c r="N44" i="9"/>
  <c r="O44" i="9" s="1"/>
  <c r="K9" i="9" s="1"/>
  <c r="S9" i="9" s="1"/>
  <c r="N41" i="9"/>
  <c r="O41" i="9" s="1"/>
  <c r="K8" i="9" s="1"/>
  <c r="S8" i="9" s="1"/>
  <c r="N43" i="9"/>
  <c r="O43" i="9" s="1"/>
  <c r="M8" i="9" s="1"/>
  <c r="U8" i="9" s="1"/>
  <c r="N38" i="9"/>
  <c r="O38" i="9" s="1"/>
  <c r="L7" i="9" s="1"/>
  <c r="T7" i="9" s="1"/>
  <c r="N42" i="9"/>
  <c r="O42" i="9" s="1"/>
  <c r="L8" i="9" s="1"/>
  <c r="T8" i="9" s="1"/>
  <c r="N37" i="9"/>
  <c r="O37" i="9" s="1"/>
  <c r="K7" i="9" s="1"/>
  <c r="S7" i="9" s="1"/>
  <c r="N46" i="9"/>
  <c r="O46" i="9" s="1"/>
  <c r="K10" i="9" s="1"/>
  <c r="S10" i="9" s="1"/>
  <c r="N36" i="9"/>
  <c r="O36" i="9" s="1"/>
  <c r="O6" i="9" s="1"/>
  <c r="W6" i="9" s="1"/>
  <c r="N32" i="9"/>
  <c r="O32" i="9" s="1"/>
  <c r="K6" i="9" s="1"/>
  <c r="S6" i="9" s="1"/>
  <c r="N45" i="9"/>
  <c r="O45" i="9" s="1"/>
  <c r="L9" i="9" s="1"/>
  <c r="T9" i="9" s="1"/>
  <c r="N34" i="9"/>
  <c r="O34" i="9" s="1"/>
  <c r="M6" i="9" s="1"/>
  <c r="U6" i="9" s="1"/>
</calcChain>
</file>

<file path=xl/sharedStrings.xml><?xml version="1.0" encoding="utf-8"?>
<sst xmlns="http://schemas.openxmlformats.org/spreadsheetml/2006/main" count="326" uniqueCount="128">
  <si>
    <t>Period</t>
  </si>
  <si>
    <t>"Slack" Factor (x)</t>
  </si>
  <si>
    <t>Transformed Parameters</t>
  </si>
  <si>
    <t>Modeled Triangle (Original Parameters)</t>
  </si>
  <si>
    <t>Modeled Triangle (Transformed Parameters)</t>
  </si>
  <si>
    <t>Difference in Modeled Triangles (Original - Transformed)</t>
  </si>
  <si>
    <t>Reference Cell</t>
  </si>
  <si>
    <t>Difference in Modeled Triangles (Original - Unique with Reference Cell and Relativities)</t>
  </si>
  <si>
    <t>Parameter</t>
  </si>
  <si>
    <t xml:space="preserve"> Exposure Period (k)</t>
  </si>
  <si>
    <t xml:space="preserve"> Development Period (l)</t>
  </si>
  <si>
    <t>Relativities</t>
  </si>
  <si>
    <t>Modeled Triangle (Unique with Reference Cell and Relativities)</t>
  </si>
  <si>
    <t>Dev</t>
  </si>
  <si>
    <t>Exp</t>
  </si>
  <si>
    <t>Realtivity</t>
  </si>
  <si>
    <t>Exposure Period Parameters (a)</t>
  </si>
  <si>
    <t>a'ᵢ = x∙aᵢ</t>
  </si>
  <si>
    <t>Exposure Period Parameters (a')</t>
  </si>
  <si>
    <t>àᵢ = a'ᵢ/a'k</t>
  </si>
  <si>
    <t>Exposure Period Relativities (à)</t>
  </si>
  <si>
    <t>Development Period Parameters (b)</t>
  </si>
  <si>
    <t>b'ᵢ = bᵢ/x</t>
  </si>
  <si>
    <t>Development Period Parameters (b')</t>
  </si>
  <si>
    <t>b̀ᵢ=b'ᵢ/b'l</t>
  </si>
  <si>
    <t>Development Period Relativities (b̀)</t>
  </si>
  <si>
    <t>Multiplicative Model with Parameter for Each Exposure and Devlopment Period</t>
  </si>
  <si>
    <t>Log-Linear Model with Parameter for Each Exposure and Devlopment Period</t>
  </si>
  <si>
    <t>Difference in Modeled Triangles (Original - Log-Scale Parameter)</t>
  </si>
  <si>
    <t>Modeled Triangle (Log-Scale Parameters)</t>
  </si>
  <si>
    <t>Modeled Triangle (Transformed Parameters, Log-Scale)</t>
  </si>
  <si>
    <t>Difference in Modeled Triangles (Original - Transformed, Log-Scale)</t>
  </si>
  <si>
    <t>Modeled Triangle (Unique with Reference Cell and Relativities, Log-Scale)</t>
  </si>
  <si>
    <t>Difference in Modeled Triangles (Original - Unique with Reference Cell and Relativities, Log-Scale)</t>
  </si>
  <si>
    <t>Development Period Parameters (β)</t>
  </si>
  <si>
    <t>Development Period Parameters (β')</t>
  </si>
  <si>
    <r>
      <t>β</t>
    </r>
    <r>
      <rPr>
        <sz val="11"/>
        <color theme="1"/>
        <rFont val="Calibri"/>
        <family val="2"/>
      </rPr>
      <t>́̃</t>
    </r>
    <r>
      <rPr>
        <sz val="11"/>
        <color theme="1"/>
        <rFont val="Calibri"/>
        <family val="2"/>
        <scheme val="minor"/>
      </rPr>
      <t>ᵢ=β'ᵢ-β'</t>
    </r>
    <r>
      <rPr>
        <vertAlign val="subscript"/>
        <sz val="11"/>
        <color theme="1"/>
        <rFont val="Calibri"/>
        <family val="2"/>
        <scheme val="minor"/>
      </rPr>
      <t>l</t>
    </r>
  </si>
  <si>
    <r>
      <rPr>
        <sz val="11"/>
        <color theme="1"/>
        <rFont val="Calibri"/>
        <family val="2"/>
      </rPr>
      <t>α̃</t>
    </r>
    <r>
      <rPr>
        <sz val="11"/>
        <color theme="1"/>
        <rFont val="Calibri"/>
        <family val="2"/>
        <scheme val="minor"/>
      </rPr>
      <t xml:space="preserve">ᵢ = 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'ᵢ-α'</t>
    </r>
    <r>
      <rPr>
        <vertAlign val="subscript"/>
        <sz val="11"/>
        <color theme="1"/>
        <rFont val="Calibri"/>
        <family val="2"/>
        <scheme val="minor"/>
      </rPr>
      <t>k</t>
    </r>
  </si>
  <si>
    <t>Exposure Period Parameters (α)</t>
  </si>
  <si>
    <r>
      <t>Exposure Period Relativities (α</t>
    </r>
    <r>
      <rPr>
        <b/>
        <sz val="11"/>
        <color theme="1"/>
        <rFont val="Calibri"/>
        <family val="2"/>
      </rPr>
      <t>̃</t>
    </r>
    <r>
      <rPr>
        <b/>
        <sz val="11"/>
        <color theme="1"/>
        <rFont val="Calibri"/>
        <family val="2"/>
        <scheme val="minor"/>
      </rPr>
      <t>)</t>
    </r>
  </si>
  <si>
    <r>
      <t>Development Period Relativities (</t>
    </r>
    <r>
      <rPr>
        <b/>
        <sz val="11"/>
        <color theme="1"/>
        <rFont val="Calibri"/>
        <family val="2"/>
      </rPr>
      <t>β́̃</t>
    </r>
    <r>
      <rPr>
        <b/>
        <sz val="11"/>
        <color theme="1"/>
        <rFont val="Calibri"/>
        <family val="2"/>
        <scheme val="minor"/>
      </rPr>
      <t>)</t>
    </r>
  </si>
  <si>
    <r>
      <t>"Slack" Factor (</t>
    </r>
    <r>
      <rPr>
        <b/>
        <sz val="11"/>
        <color theme="1"/>
        <rFont val="Calibri"/>
        <family val="2"/>
      </rPr>
      <t>χ</t>
    </r>
    <r>
      <rPr>
        <b/>
        <sz val="11"/>
        <color theme="1"/>
        <rFont val="Calibri"/>
        <family val="2"/>
        <scheme val="minor"/>
      </rPr>
      <t>)</t>
    </r>
  </si>
  <si>
    <t>α'ᵢ = αᵢ+χ</t>
  </si>
  <si>
    <t>β'ᵢ = βᵢ-χ</t>
  </si>
  <si>
    <r>
      <t xml:space="preserve"> Value (k = a'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∙b'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</t>
    </r>
  </si>
  <si>
    <r>
      <t xml:space="preserve"> Value (</t>
    </r>
    <r>
      <rPr>
        <sz val="11"/>
        <color theme="1"/>
        <rFont val="Calibri"/>
        <family val="2"/>
      </rPr>
      <t>κ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+β'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</t>
    </r>
  </si>
  <si>
    <t>Multiplicative Model with Parameter for Each Exposure, Devlopment, and Payment Period</t>
  </si>
  <si>
    <t>Payment Period Parameters (c)</t>
  </si>
  <si>
    <t>"Slack" Factors</t>
  </si>
  <si>
    <t>x</t>
  </si>
  <si>
    <t>y</t>
  </si>
  <si>
    <t>z</t>
  </si>
  <si>
    <t>c'ᵢ = zⁱ⁺¹∙cᵢ/x/y</t>
  </si>
  <si>
    <t>a'ᵢ = x∙aᵢ/zⁱ</t>
  </si>
  <si>
    <t>b'ᵢ = y∙bᵢ/zⁱ</t>
  </si>
  <si>
    <t>Payment Period Parameters (c')</t>
  </si>
  <si>
    <t>Reference Periods</t>
  </si>
  <si>
    <t>Allowed Values For Referece Payment Period</t>
  </si>
  <si>
    <t xml:space="preserve"> Payment Period (m)</t>
  </si>
  <si>
    <r>
      <t>z</t>
    </r>
    <r>
      <rPr>
        <vertAlign val="superscript"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= x∙a</t>
    </r>
    <r>
      <rPr>
        <vertAlign val="subscript"/>
        <sz val="11"/>
        <color theme="1"/>
        <rFont val="Calibri"/>
        <family val="2"/>
        <scheme val="minor"/>
      </rPr>
      <t>k</t>
    </r>
  </si>
  <si>
    <r>
      <t>z</t>
    </r>
    <r>
      <rPr>
        <vertAlign val="super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 y∙b</t>
    </r>
    <r>
      <rPr>
        <vertAlign val="subscript"/>
        <sz val="11"/>
        <color theme="1"/>
        <rFont val="Calibri"/>
        <family val="2"/>
        <scheme val="minor"/>
      </rPr>
      <t>l</t>
    </r>
  </si>
  <si>
    <r>
      <t>x∙y = z</t>
    </r>
    <r>
      <rPr>
        <vertAlign val="superscript"/>
        <sz val="11"/>
        <color theme="1"/>
        <rFont val="Calibri"/>
        <family val="2"/>
        <scheme val="minor"/>
      </rPr>
      <t>m+1</t>
    </r>
    <r>
      <rPr>
        <sz val="11"/>
        <color theme="1"/>
        <rFont val="Calibri"/>
        <family val="2"/>
        <scheme val="minor"/>
      </rPr>
      <t>∙c</t>
    </r>
    <r>
      <rPr>
        <vertAlign val="subscript"/>
        <sz val="11"/>
        <color theme="1"/>
        <rFont val="Calibri"/>
        <family val="2"/>
        <scheme val="minor"/>
      </rPr>
      <t>m</t>
    </r>
  </si>
  <si>
    <r>
      <t>z = (a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∙b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∙c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1/(k+l-m-1)</t>
    </r>
  </si>
  <si>
    <r>
      <t>x = z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k</t>
    </r>
  </si>
  <si>
    <r>
      <t>y = z</t>
    </r>
    <r>
      <rPr>
        <vertAlign val="super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/b</t>
    </r>
    <r>
      <rPr>
        <vertAlign val="subscript"/>
        <sz val="11"/>
        <color theme="1"/>
        <rFont val="Calibri"/>
        <family val="2"/>
        <scheme val="minor"/>
      </rPr>
      <t>l</t>
    </r>
  </si>
  <si>
    <r>
      <t>z</t>
    </r>
    <r>
      <rPr>
        <vertAlign val="superscript"/>
        <sz val="11"/>
        <color theme="1"/>
        <rFont val="Calibri"/>
        <family val="2"/>
        <scheme val="minor"/>
      </rPr>
      <t xml:space="preserve">k+l </t>
    </r>
    <r>
      <rPr>
        <sz val="11"/>
        <color theme="1"/>
        <rFont val="Calibri"/>
        <family val="2"/>
        <scheme val="minor"/>
      </rPr>
      <t>= z</t>
    </r>
    <r>
      <rPr>
        <vertAlign val="superscript"/>
        <sz val="11"/>
        <color theme="1"/>
        <rFont val="Calibri"/>
        <family val="2"/>
        <scheme val="minor"/>
      </rPr>
      <t>m+1∙</t>
    </r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∙b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∙c</t>
    </r>
    <r>
      <rPr>
        <vertAlign val="subscript"/>
        <sz val="11"/>
        <color theme="1"/>
        <rFont val="Calibri"/>
        <family val="2"/>
        <scheme val="minor"/>
      </rPr>
      <t>m</t>
    </r>
  </si>
  <si>
    <r>
      <t xml:space="preserve">Constraint: k+l </t>
    </r>
    <r>
      <rPr>
        <sz val="11"/>
        <color theme="1"/>
        <rFont val="Calibri"/>
        <family val="2"/>
      </rPr>
      <t xml:space="preserve">≠ </t>
    </r>
    <r>
      <rPr>
        <sz val="11"/>
        <color theme="1"/>
        <rFont val="Calibri"/>
        <family val="2"/>
        <scheme val="minor"/>
      </rPr>
      <t>m+1</t>
    </r>
  </si>
  <si>
    <t>Unique Parameterization Achieved by Dropping One Level from Each Dimension</t>
  </si>
  <si>
    <t>After selecting suitable reference levels for each dimension we can effectively drop the</t>
  </si>
  <si>
    <t>corresponding parameter by selecting the "slack" factors in such a way that the transformed</t>
  </si>
  <si>
    <t>paramters become 1.</t>
  </si>
  <si>
    <t>Derivation of "slack" factors:</t>
  </si>
  <si>
    <t>paramters become 0 (on the log-scale).</t>
  </si>
  <si>
    <t>Modeled Triangle (Unique, Drop One Level from Each Dimension, Log-Scale)</t>
  </si>
  <si>
    <t>Difference in Modeled Triangles (Original - Unique, Drop One Level from Each Dimension, Log-Scale)</t>
  </si>
  <si>
    <t>Modeled Triangle (Unique, Drop One Level from Each Dimension)</t>
  </si>
  <si>
    <t>Difference in Modeled Triangles (Original - Unique, Drop One Level from Each Dimension)</t>
  </si>
  <si>
    <r>
      <t>Exposure Period Parameters (</t>
    </r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>)</t>
    </r>
  </si>
  <si>
    <r>
      <t>Development Period Parameters (</t>
    </r>
    <r>
      <rPr>
        <b/>
        <sz val="11"/>
        <color theme="1"/>
        <rFont val="Calibri"/>
        <family val="2"/>
      </rPr>
      <t>β</t>
    </r>
    <r>
      <rPr>
        <b/>
        <sz val="11"/>
        <color theme="1"/>
        <rFont val="Calibri"/>
        <family val="2"/>
        <scheme val="minor"/>
      </rPr>
      <t>)</t>
    </r>
  </si>
  <si>
    <r>
      <t>Payment Period Parameters (</t>
    </r>
    <r>
      <rPr>
        <b/>
        <sz val="11"/>
        <color theme="1"/>
        <rFont val="Calibri"/>
        <family val="2"/>
      </rPr>
      <t>γ</t>
    </r>
    <r>
      <rPr>
        <b/>
        <sz val="11"/>
        <color theme="1"/>
        <rFont val="Calibri"/>
        <family val="2"/>
        <scheme val="minor"/>
      </rPr>
      <t>)</t>
    </r>
  </si>
  <si>
    <t>χ</t>
  </si>
  <si>
    <t>ψ</t>
  </si>
  <si>
    <t>ω</t>
  </si>
  <si>
    <t>α'ᵢ=αᵢ+χ-i∙ω</t>
  </si>
  <si>
    <t>β'ᵢ=βᵢ+ψ-i∙ω</t>
  </si>
  <si>
    <t>γ'ᵢ = γᵢ-χ-ψ+(i+1)∙ω</t>
  </si>
  <si>
    <t>Exposure Period Parameters (α')</t>
  </si>
  <si>
    <t>Payment Period Parameters (γ')</t>
  </si>
  <si>
    <r>
      <t>α'</t>
    </r>
    <r>
      <rPr>
        <vertAlign val="subscript"/>
        <sz val="11"/>
        <color theme="1"/>
        <rFont val="Calibri"/>
        <family val="2"/>
      </rPr>
      <t>k</t>
    </r>
    <r>
      <rPr>
        <sz val="11"/>
        <color theme="1"/>
        <rFont val="Calibri"/>
        <family val="2"/>
      </rPr>
      <t xml:space="preserve"> = 0</t>
    </r>
  </si>
  <si>
    <r>
      <t>β'</t>
    </r>
    <r>
      <rPr>
        <vertAlign val="subscript"/>
        <sz val="11"/>
        <color theme="1"/>
        <rFont val="Calibri"/>
        <family val="2"/>
      </rPr>
      <t>l</t>
    </r>
    <r>
      <rPr>
        <sz val="11"/>
        <color theme="1"/>
        <rFont val="Calibri"/>
        <family val="2"/>
      </rPr>
      <t xml:space="preserve"> = 0</t>
    </r>
  </si>
  <si>
    <r>
      <t>γ'</t>
    </r>
    <r>
      <rPr>
        <vertAlign val="sub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 xml:space="preserve"> = 0</t>
    </r>
  </si>
  <si>
    <r>
      <t>k∙ω = χ+α</t>
    </r>
    <r>
      <rPr>
        <vertAlign val="subscript"/>
        <sz val="11"/>
        <color theme="1"/>
        <rFont val="Calibri"/>
        <family val="2"/>
        <scheme val="minor"/>
      </rPr>
      <t>k</t>
    </r>
  </si>
  <si>
    <r>
      <t>l∙ω = ψ+β</t>
    </r>
    <r>
      <rPr>
        <vertAlign val="subscript"/>
        <sz val="11"/>
        <color theme="1"/>
        <rFont val="Calibri"/>
        <family val="2"/>
        <scheme val="minor"/>
      </rPr>
      <t>l</t>
    </r>
  </si>
  <si>
    <r>
      <t>χ+ψ = (m+1)∙ω+γ</t>
    </r>
    <r>
      <rPr>
        <vertAlign val="subscript"/>
        <sz val="11"/>
        <color theme="1"/>
        <rFont val="Calibri"/>
        <family val="2"/>
        <scheme val="minor"/>
      </rPr>
      <t>m</t>
    </r>
  </si>
  <si>
    <r>
      <t>(k+l)∙ω = (m+1)∙ω+α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+β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+γ</t>
    </r>
    <r>
      <rPr>
        <vertAlign val="subscript"/>
        <sz val="11"/>
        <color theme="1"/>
        <rFont val="Calibri"/>
        <family val="2"/>
        <scheme val="minor"/>
      </rPr>
      <t>m</t>
    </r>
  </si>
  <si>
    <r>
      <t>ω = (α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+β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+γ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)/(k+l-m-1)</t>
    </r>
  </si>
  <si>
    <r>
      <t>χ = k∙ω-α</t>
    </r>
    <r>
      <rPr>
        <vertAlign val="subscript"/>
        <sz val="11"/>
        <color theme="1"/>
        <rFont val="Calibri"/>
        <family val="2"/>
        <scheme val="minor"/>
      </rPr>
      <t>k</t>
    </r>
  </si>
  <si>
    <r>
      <t>ψ = l∙ω-β</t>
    </r>
    <r>
      <rPr>
        <vertAlign val="subscript"/>
        <sz val="11"/>
        <color theme="1"/>
        <rFont val="Calibri"/>
        <family val="2"/>
        <scheme val="minor"/>
      </rPr>
      <t>l</t>
    </r>
  </si>
  <si>
    <r>
      <t>a'</t>
    </r>
    <r>
      <rPr>
        <vertAlign val="subscript"/>
        <sz val="11"/>
        <color theme="1"/>
        <rFont val="Calibri"/>
        <family val="2"/>
      </rPr>
      <t>k</t>
    </r>
    <r>
      <rPr>
        <sz val="11"/>
        <color theme="1"/>
        <rFont val="Calibri"/>
        <family val="2"/>
      </rPr>
      <t xml:space="preserve"> = 1</t>
    </r>
  </si>
  <si>
    <r>
      <t>b'</t>
    </r>
    <r>
      <rPr>
        <vertAlign val="subscript"/>
        <sz val="11"/>
        <color theme="1"/>
        <rFont val="Calibri"/>
        <family val="2"/>
      </rPr>
      <t>l</t>
    </r>
    <r>
      <rPr>
        <sz val="11"/>
        <color theme="1"/>
        <rFont val="Calibri"/>
        <family val="2"/>
      </rPr>
      <t xml:space="preserve"> = 1</t>
    </r>
  </si>
  <si>
    <r>
      <t>c'</t>
    </r>
    <r>
      <rPr>
        <vertAlign val="sub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 xml:space="preserve"> = 1</t>
    </r>
  </si>
  <si>
    <t>Model Matrix for Log-Linear Model with Parameter for Each Exposure and Devlopment Period</t>
  </si>
  <si>
    <t>κ</t>
  </si>
  <si>
    <t>Index of Triangle Cells</t>
  </si>
  <si>
    <t>Row</t>
  </si>
  <si>
    <t>Column</t>
  </si>
  <si>
    <t>Modeled Values</t>
  </si>
  <si>
    <r>
      <t>Vector of Parameters (</t>
    </r>
    <r>
      <rPr>
        <b/>
        <sz val="11"/>
        <color theme="1"/>
        <rFont val="Calibri"/>
        <family val="2"/>
      </rPr>
      <t>π)</t>
    </r>
  </si>
  <si>
    <t>Model Matrix (X)</t>
  </si>
  <si>
    <t>Indices for Look-Up</t>
  </si>
  <si>
    <t>Difference in Modeled Triangles (Original - Based on X∙π)</t>
  </si>
  <si>
    <r>
      <t>Modeled Triangle (Based on e</t>
    </r>
    <r>
      <rPr>
        <b/>
        <vertAlign val="superscript"/>
        <sz val="11"/>
        <color theme="1"/>
        <rFont val="Calibri"/>
        <family val="2"/>
        <scheme val="minor"/>
      </rPr>
      <t>X</t>
    </r>
    <r>
      <rPr>
        <b/>
        <vertAlign val="superscript"/>
        <sz val="11"/>
        <color theme="1"/>
        <rFont val="Calibri"/>
        <family val="2"/>
      </rPr>
      <t>∙π</t>
    </r>
    <r>
      <rPr>
        <b/>
        <sz val="11"/>
        <color theme="1"/>
        <rFont val="Calibri"/>
        <family val="2"/>
        <scheme val="minor"/>
      </rPr>
      <t>)</t>
    </r>
  </si>
  <si>
    <r>
      <t>e</t>
    </r>
    <r>
      <rPr>
        <vertAlign val="superscript"/>
        <sz val="11"/>
        <color theme="1"/>
        <rFont val="Calibri"/>
        <family val="2"/>
      </rPr>
      <t>X∙π</t>
    </r>
  </si>
  <si>
    <t>X∙π</t>
  </si>
  <si>
    <t>Model Matrix for Log-Linear Model with Parameter for Each Exposure, Devlopment and Payment Period</t>
  </si>
  <si>
    <t>Vec of Cum Pars</t>
  </si>
  <si>
    <t>Model Matrix for Log-Linear Model with Period to Period Trend Parameters in Exposure, Devlopment and Payment Dimensions</t>
  </si>
  <si>
    <t>Par</t>
  </si>
  <si>
    <t>Value</t>
  </si>
  <si>
    <t>Start</t>
  </si>
  <si>
    <t>End</t>
  </si>
  <si>
    <t>Pay</t>
  </si>
  <si>
    <t>Ref</t>
  </si>
  <si>
    <t>Period Less Than Reference Level</t>
  </si>
  <si>
    <t>Upper</t>
  </si>
  <si>
    <t>Lower</t>
  </si>
  <si>
    <t>Bounds</t>
  </si>
  <si>
    <t>Coding Periods with Grouped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</si>
</sst>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1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5" borderId="0" xfId="1" applyNumberFormat="1" applyFont="1" applyFill="1" applyAlignment="1">
      <alignment horizontal="center" vertical="center"/>
    </xf>
    <xf numFmtId="2" fontId="0" fillId="2" borderId="0" xfId="1" applyNumberFormat="1" applyFont="1" applyFill="1" applyAlignment="1">
      <alignment horizontal="center" vertical="center"/>
    </xf>
    <xf numFmtId="2" fontId="0" fillId="3" borderId="0" xfId="1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0" fillId="3" borderId="0" xfId="1" applyNumberFormat="1" applyFont="1" applyFill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0" fontId="2" fillId="0" borderId="0" xfId="0" applyFont="1"/>
    <xf numFmtId="1" fontId="0" fillId="2" borderId="0" xfId="1" applyNumberFormat="1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11" fontId="0" fillId="3" borderId="0" xfId="1" applyNumberFormat="1" applyFont="1" applyFill="1" applyAlignment="1">
      <alignment horizontal="center" vertical="center"/>
    </xf>
    <xf numFmtId="3" fontId="0" fillId="3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3" fontId="0" fillId="3" borderId="0" xfId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3" borderId="0" xfId="1" applyNumberFormat="1" applyFont="1" applyFill="1" applyAlignment="1">
      <alignment horizontal="center" vertical="center"/>
    </xf>
    <xf numFmtId="0" fontId="2" fillId="0" borderId="0" xfId="0" applyFont="1" applyAlignment="1"/>
    <xf numFmtId="0" fontId="0" fillId="4" borderId="0" xfId="0" applyFill="1" applyAlignment="1">
      <alignment horizontal="centerContinuous" vertical="center"/>
    </xf>
    <xf numFmtId="3" fontId="0" fillId="3" borderId="0" xfId="1" quotePrefix="1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A2" sqref="A2"/>
    </sheetView>
  </sheetViews>
  <sheetFormatPr defaultRowHeight="15" x14ac:dyDescent="0.25"/>
  <cols>
    <col min="1" max="5" width="9.85546875" customWidth="1"/>
    <col min="6" max="6" width="2.85546875" customWidth="1"/>
    <col min="7" max="13" width="9.7109375" customWidth="1"/>
    <col min="14" max="14" width="2.85546875" customWidth="1"/>
    <col min="15" max="21" width="9.7109375" customWidth="1"/>
  </cols>
  <sheetData>
    <row r="1" spans="1:21" ht="18.75" x14ac:dyDescent="0.3">
      <c r="A1" s="13" t="s">
        <v>26</v>
      </c>
    </row>
    <row r="3" spans="1:21" x14ac:dyDescent="0.25">
      <c r="A3" s="11" t="s">
        <v>16</v>
      </c>
      <c r="G3" s="11" t="s">
        <v>3</v>
      </c>
    </row>
    <row r="4" spans="1:2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G4" s="2" t="s">
        <v>0</v>
      </c>
      <c r="H4" s="2" t="s">
        <v>13</v>
      </c>
      <c r="I4" s="2">
        <v>1</v>
      </c>
      <c r="J4" s="2">
        <v>2</v>
      </c>
      <c r="K4" s="2">
        <v>3</v>
      </c>
      <c r="L4" s="2">
        <v>4</v>
      </c>
      <c r="M4" s="2">
        <v>5</v>
      </c>
    </row>
    <row r="5" spans="1:21" x14ac:dyDescent="0.25">
      <c r="A5" s="10">
        <v>11.23</v>
      </c>
      <c r="B5" s="10">
        <v>10.35</v>
      </c>
      <c r="C5" s="10">
        <v>12.28</v>
      </c>
      <c r="D5" s="10">
        <v>13.45</v>
      </c>
      <c r="E5" s="10">
        <v>14.19</v>
      </c>
      <c r="G5" s="2" t="s">
        <v>14</v>
      </c>
      <c r="H5" s="3" t="s">
        <v>8</v>
      </c>
      <c r="I5" s="3">
        <f t="array" ref="I5:M5">A9:E9</f>
        <v>750.11</v>
      </c>
      <c r="J5" s="3">
        <v>1323.45</v>
      </c>
      <c r="K5" s="3">
        <v>712.04</v>
      </c>
      <c r="L5" s="3">
        <v>351.97</v>
      </c>
      <c r="M5" s="3">
        <v>50.73</v>
      </c>
    </row>
    <row r="6" spans="1:21" x14ac:dyDescent="0.25">
      <c r="G6" s="2">
        <v>1</v>
      </c>
      <c r="H6" s="3">
        <f t="array" ref="H6:H10">TRANSPOSE(A5:E5)</f>
        <v>11.23</v>
      </c>
      <c r="I6" s="8">
        <f>$H6*I$5</f>
        <v>8423.7353000000003</v>
      </c>
      <c r="J6" s="8">
        <f t="shared" ref="J6:L9" si="0">$H6*J$5</f>
        <v>14862.343500000001</v>
      </c>
      <c r="K6" s="8">
        <f t="shared" si="0"/>
        <v>7996.2092000000002</v>
      </c>
      <c r="L6" s="8">
        <f t="shared" si="0"/>
        <v>3952.6231000000002</v>
      </c>
      <c r="M6" s="8">
        <f>$H6*M$5</f>
        <v>569.6979</v>
      </c>
    </row>
    <row r="7" spans="1:21" x14ac:dyDescent="0.25">
      <c r="A7" s="11" t="s">
        <v>21</v>
      </c>
      <c r="G7" s="2">
        <v>2</v>
      </c>
      <c r="H7" s="3">
        <v>10.35</v>
      </c>
      <c r="I7" s="8">
        <f t="shared" ref="I7:I10" si="1">$H7*I$5</f>
        <v>7763.6385</v>
      </c>
      <c r="J7" s="8">
        <f t="shared" si="0"/>
        <v>13697.7075</v>
      </c>
      <c r="K7" s="8">
        <f t="shared" si="0"/>
        <v>7369.6139999999996</v>
      </c>
      <c r="L7" s="8">
        <f t="shared" si="0"/>
        <v>3642.8895000000002</v>
      </c>
      <c r="M7" s="9"/>
    </row>
    <row r="8" spans="1:2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G8" s="2">
        <v>3</v>
      </c>
      <c r="H8" s="3">
        <v>12.28</v>
      </c>
      <c r="I8" s="8">
        <f t="shared" si="1"/>
        <v>9211.3508000000002</v>
      </c>
      <c r="J8" s="8">
        <f t="shared" si="0"/>
        <v>16251.966</v>
      </c>
      <c r="K8" s="8">
        <f t="shared" si="0"/>
        <v>8743.8511999999992</v>
      </c>
      <c r="L8" s="9"/>
      <c r="M8" s="9"/>
    </row>
    <row r="9" spans="1:21" x14ac:dyDescent="0.25">
      <c r="A9" s="10">
        <v>750.11</v>
      </c>
      <c r="B9" s="10">
        <v>1323.45</v>
      </c>
      <c r="C9" s="10">
        <v>712.04</v>
      </c>
      <c r="D9" s="10">
        <v>351.97</v>
      </c>
      <c r="E9" s="10">
        <v>50.73</v>
      </c>
      <c r="G9" s="2">
        <v>4</v>
      </c>
      <c r="H9" s="3">
        <v>13.45</v>
      </c>
      <c r="I9" s="8">
        <f t="shared" si="1"/>
        <v>10088.979499999999</v>
      </c>
      <c r="J9" s="8">
        <f t="shared" si="0"/>
        <v>17800.4025</v>
      </c>
      <c r="K9" s="9"/>
      <c r="L9" s="9"/>
      <c r="M9" s="9"/>
    </row>
    <row r="10" spans="1:21" x14ac:dyDescent="0.25">
      <c r="G10" s="2">
        <v>5</v>
      </c>
      <c r="H10" s="3">
        <v>14.19</v>
      </c>
      <c r="I10" s="8">
        <f t="shared" si="1"/>
        <v>10644.0609</v>
      </c>
      <c r="J10" s="9"/>
      <c r="K10" s="9"/>
      <c r="L10" s="9"/>
      <c r="M10" s="9"/>
    </row>
    <row r="11" spans="1:21" x14ac:dyDescent="0.25">
      <c r="A11" s="11" t="s">
        <v>1</v>
      </c>
    </row>
    <row r="12" spans="1:21" x14ac:dyDescent="0.25">
      <c r="A12" s="4">
        <v>80</v>
      </c>
      <c r="G12" s="11" t="s">
        <v>4</v>
      </c>
      <c r="O12" s="11" t="s">
        <v>5</v>
      </c>
    </row>
    <row r="13" spans="1:21" x14ac:dyDescent="0.25">
      <c r="G13" s="2" t="s">
        <v>0</v>
      </c>
      <c r="H13" s="2" t="s">
        <v>13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O13" s="2" t="s">
        <v>0</v>
      </c>
      <c r="P13" s="2" t="s">
        <v>13</v>
      </c>
      <c r="Q13" s="2">
        <v>1</v>
      </c>
      <c r="R13" s="2">
        <v>2</v>
      </c>
      <c r="S13" s="2">
        <v>3</v>
      </c>
      <c r="T13" s="2">
        <v>4</v>
      </c>
      <c r="U13" s="2">
        <v>5</v>
      </c>
    </row>
    <row r="14" spans="1:21" x14ac:dyDescent="0.25">
      <c r="A14" s="11" t="s">
        <v>2</v>
      </c>
      <c r="G14" s="2" t="s">
        <v>14</v>
      </c>
      <c r="H14" s="3" t="s">
        <v>8</v>
      </c>
      <c r="I14" s="3">
        <f t="array" ref="I14:M14">A23:E23</f>
        <v>9.3763749999999995</v>
      </c>
      <c r="J14" s="3">
        <v>16.543125</v>
      </c>
      <c r="K14" s="3">
        <v>8.9004999999999992</v>
      </c>
      <c r="L14" s="3">
        <v>4.3996250000000003</v>
      </c>
      <c r="M14" s="3">
        <v>0.63412499999999994</v>
      </c>
      <c r="O14" s="2" t="s">
        <v>14</v>
      </c>
      <c r="P14" s="3"/>
      <c r="Q14" s="3"/>
      <c r="R14" s="3"/>
      <c r="S14" s="3"/>
      <c r="T14" s="3"/>
      <c r="U14" s="3"/>
    </row>
    <row r="15" spans="1:21" x14ac:dyDescent="0.25">
      <c r="A15" s="7" t="s">
        <v>17</v>
      </c>
      <c r="B15" s="7" t="s">
        <v>22</v>
      </c>
      <c r="G15" s="2">
        <v>1</v>
      </c>
      <c r="H15" s="3">
        <f t="array" ref="H15:H19">TRANSPOSE(A19:E19)</f>
        <v>898.40000000000009</v>
      </c>
      <c r="I15" s="8">
        <f>$H15*I$14</f>
        <v>8423.7353000000003</v>
      </c>
      <c r="J15" s="8">
        <f>$H15*J$14</f>
        <v>14862.343500000001</v>
      </c>
      <c r="K15" s="8">
        <f>$H15*K$14</f>
        <v>7996.2092000000002</v>
      </c>
      <c r="L15" s="8">
        <f>$H15*L$14</f>
        <v>3952.6231000000007</v>
      </c>
      <c r="M15" s="8">
        <f>$H15*M$14</f>
        <v>569.6979</v>
      </c>
      <c r="O15" s="2">
        <v>1</v>
      </c>
      <c r="P15" s="3"/>
      <c r="Q15" s="5">
        <f>I6-I15</f>
        <v>0</v>
      </c>
      <c r="R15" s="5">
        <f>J6-J15</f>
        <v>0</v>
      </c>
      <c r="S15" s="5">
        <f>K6-K15</f>
        <v>0</v>
      </c>
      <c r="T15" s="5">
        <f>L6-L15</f>
        <v>0</v>
      </c>
      <c r="U15" s="5">
        <f>M6-M15</f>
        <v>0</v>
      </c>
    </row>
    <row r="16" spans="1:21" x14ac:dyDescent="0.25">
      <c r="G16" s="2">
        <v>2</v>
      </c>
      <c r="H16" s="3">
        <v>828</v>
      </c>
      <c r="I16" s="8">
        <f>$H16*I$14</f>
        <v>7763.6384999999991</v>
      </c>
      <c r="J16" s="8">
        <f>$H16*J$14</f>
        <v>13697.7075</v>
      </c>
      <c r="K16" s="8">
        <f>$H16*K$14</f>
        <v>7369.6139999999996</v>
      </c>
      <c r="L16" s="8">
        <f>$H16*L$14</f>
        <v>3642.8895000000002</v>
      </c>
      <c r="M16" s="9"/>
      <c r="O16" s="2">
        <v>2</v>
      </c>
      <c r="P16" s="3"/>
      <c r="Q16" s="5">
        <f>I7-I16</f>
        <v>0</v>
      </c>
      <c r="R16" s="5">
        <f>J7-J16</f>
        <v>0</v>
      </c>
      <c r="S16" s="5">
        <f>K7-K16</f>
        <v>0</v>
      </c>
      <c r="T16" s="5">
        <f>L7-L16</f>
        <v>0</v>
      </c>
      <c r="U16" s="1"/>
    </row>
    <row r="17" spans="1:21" x14ac:dyDescent="0.25">
      <c r="A17" s="11" t="s">
        <v>18</v>
      </c>
      <c r="G17" s="2">
        <v>3</v>
      </c>
      <c r="H17" s="3">
        <v>982.4</v>
      </c>
      <c r="I17" s="8">
        <f>$H17*I$14</f>
        <v>9211.3508000000002</v>
      </c>
      <c r="J17" s="8">
        <f>$H17*J$14</f>
        <v>16251.966</v>
      </c>
      <c r="K17" s="8">
        <f>$H17*K$14</f>
        <v>8743.8511999999992</v>
      </c>
      <c r="L17" s="9"/>
      <c r="M17" s="9"/>
      <c r="O17" s="2">
        <v>3</v>
      </c>
      <c r="P17" s="3"/>
      <c r="Q17" s="5">
        <f>I8-I17</f>
        <v>0</v>
      </c>
      <c r="R17" s="5">
        <f>J8-J17</f>
        <v>0</v>
      </c>
      <c r="S17" s="5">
        <f>K8-K17</f>
        <v>0</v>
      </c>
      <c r="T17" s="1"/>
      <c r="U17" s="1"/>
    </row>
    <row r="18" spans="1:21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G18" s="2">
        <v>4</v>
      </c>
      <c r="H18" s="3">
        <v>1076</v>
      </c>
      <c r="I18" s="8">
        <f>$H18*I$14</f>
        <v>10088.979499999999</v>
      </c>
      <c r="J18" s="8">
        <f>$H18*J$14</f>
        <v>17800.4025</v>
      </c>
      <c r="K18" s="9"/>
      <c r="L18" s="9"/>
      <c r="M18" s="9"/>
      <c r="O18" s="2">
        <v>4</v>
      </c>
      <c r="P18" s="3"/>
      <c r="Q18" s="5">
        <f>I9-I18</f>
        <v>0</v>
      </c>
      <c r="R18" s="5">
        <f>J9-J18</f>
        <v>0</v>
      </c>
      <c r="S18" s="1"/>
      <c r="T18" s="1"/>
      <c r="U18" s="1"/>
    </row>
    <row r="19" spans="1:21" x14ac:dyDescent="0.25">
      <c r="A19" s="8">
        <f>A5*$A$12</f>
        <v>898.40000000000009</v>
      </c>
      <c r="B19" s="8">
        <f>B5*$A$12</f>
        <v>828</v>
      </c>
      <c r="C19" s="8">
        <f>C5*$A$12</f>
        <v>982.4</v>
      </c>
      <c r="D19" s="8">
        <f>D5*$A$12</f>
        <v>1076</v>
      </c>
      <c r="E19" s="8">
        <f>E5*$A$12</f>
        <v>1135.2</v>
      </c>
      <c r="G19" s="2">
        <v>5</v>
      </c>
      <c r="H19" s="3">
        <v>1135.2</v>
      </c>
      <c r="I19" s="8">
        <f>$H19*I$14</f>
        <v>10644.0609</v>
      </c>
      <c r="J19" s="9"/>
      <c r="K19" s="9"/>
      <c r="L19" s="9"/>
      <c r="M19" s="9"/>
      <c r="O19" s="2">
        <v>5</v>
      </c>
      <c r="P19" s="3"/>
      <c r="Q19" s="5">
        <f>I10-I19</f>
        <v>0</v>
      </c>
      <c r="R19" s="1"/>
      <c r="S19" s="1"/>
      <c r="T19" s="1"/>
      <c r="U19" s="1"/>
    </row>
    <row r="21" spans="1:21" x14ac:dyDescent="0.25">
      <c r="A21" s="11" t="s">
        <v>23</v>
      </c>
      <c r="G21" s="11" t="s">
        <v>12</v>
      </c>
      <c r="O21" s="11" t="s">
        <v>7</v>
      </c>
    </row>
    <row r="22" spans="1:21" x14ac:dyDescent="0.25">
      <c r="A22" s="2">
        <v>1</v>
      </c>
      <c r="B22" s="2">
        <v>2</v>
      </c>
      <c r="C22" s="2">
        <v>3</v>
      </c>
      <c r="D22" s="2">
        <v>4</v>
      </c>
      <c r="E22" s="2">
        <v>5</v>
      </c>
      <c r="G22" s="2" t="s">
        <v>0</v>
      </c>
      <c r="H22" s="2" t="s">
        <v>13</v>
      </c>
      <c r="I22" s="2">
        <v>1</v>
      </c>
      <c r="J22" s="2">
        <v>2</v>
      </c>
      <c r="K22" s="2">
        <v>3</v>
      </c>
      <c r="L22" s="2">
        <v>4</v>
      </c>
      <c r="M22" s="2">
        <v>5</v>
      </c>
      <c r="O22" s="2" t="s">
        <v>0</v>
      </c>
      <c r="P22" s="2" t="s">
        <v>13</v>
      </c>
      <c r="Q22" s="2">
        <v>1</v>
      </c>
      <c r="R22" s="2">
        <v>2</v>
      </c>
      <c r="S22" s="2">
        <v>3</v>
      </c>
      <c r="T22" s="2">
        <v>4</v>
      </c>
      <c r="U22" s="2">
        <v>5</v>
      </c>
    </row>
    <row r="23" spans="1:21" x14ac:dyDescent="0.25">
      <c r="A23" s="8">
        <f>A9/$A$12</f>
        <v>9.3763749999999995</v>
      </c>
      <c r="B23" s="8">
        <f>B9/$A$12</f>
        <v>16.543125</v>
      </c>
      <c r="C23" s="8">
        <f>C9/$A$12</f>
        <v>8.9004999999999992</v>
      </c>
      <c r="D23" s="8">
        <f>D9/$A$12</f>
        <v>4.3996250000000003</v>
      </c>
      <c r="E23" s="8">
        <f>E9/$A$12</f>
        <v>0.63412499999999994</v>
      </c>
      <c r="G23" s="2" t="s">
        <v>14</v>
      </c>
      <c r="H23" s="3" t="s">
        <v>15</v>
      </c>
      <c r="I23" s="3">
        <f t="array" ref="I23:M23">A40:E40</f>
        <v>1</v>
      </c>
      <c r="J23" s="3">
        <v>1.7643412299529404</v>
      </c>
      <c r="K23" s="3">
        <v>0.94924744370825609</v>
      </c>
      <c r="L23" s="3">
        <v>0.46922451373798518</v>
      </c>
      <c r="M23" s="3">
        <v>6.7630080921464844E-2</v>
      </c>
      <c r="O23" s="2" t="s">
        <v>14</v>
      </c>
      <c r="P23" s="3"/>
      <c r="Q23" s="3"/>
      <c r="R23" s="3"/>
      <c r="S23" s="3"/>
      <c r="T23" s="3"/>
      <c r="U23" s="3"/>
    </row>
    <row r="24" spans="1:21" x14ac:dyDescent="0.25">
      <c r="G24" s="2">
        <v>1</v>
      </c>
      <c r="H24" s="3">
        <f t="array" ref="H24:H28">TRANSPOSE(A36:E36)</f>
        <v>1</v>
      </c>
      <c r="I24" s="8">
        <f>$A$29*$H24*I$23</f>
        <v>8423.7353000000003</v>
      </c>
      <c r="J24" s="8">
        <f>$A$29*$H24*J$23</f>
        <v>14862.343500000003</v>
      </c>
      <c r="K24" s="8">
        <f>$A$29*$H24*K$23</f>
        <v>7996.2092000000002</v>
      </c>
      <c r="L24" s="8">
        <f>$A$29*$H24*L$23</f>
        <v>3952.6231000000007</v>
      </c>
      <c r="M24" s="8">
        <f>$A$29*$H24*M$23</f>
        <v>569.6979</v>
      </c>
      <c r="O24" s="2">
        <v>1</v>
      </c>
      <c r="P24" s="3"/>
      <c r="Q24" s="5">
        <f>I6-I24</f>
        <v>0</v>
      </c>
      <c r="R24" s="5">
        <f>J6-J24</f>
        <v>0</v>
      </c>
      <c r="S24" s="5">
        <f>K6-K24</f>
        <v>0</v>
      </c>
      <c r="T24" s="5">
        <f>L6-L24</f>
        <v>0</v>
      </c>
      <c r="U24" s="5">
        <f>M6-M24</f>
        <v>0</v>
      </c>
    </row>
    <row r="25" spans="1:21" x14ac:dyDescent="0.25">
      <c r="A25" s="11" t="s">
        <v>6</v>
      </c>
      <c r="G25" s="2">
        <v>2</v>
      </c>
      <c r="H25" s="3">
        <v>0.9216384683882457</v>
      </c>
      <c r="I25" s="8">
        <f>$A$29*$H25*I$23</f>
        <v>7763.6385</v>
      </c>
      <c r="J25" s="8">
        <f>$A$29*$H25*J$23</f>
        <v>13697.707500000002</v>
      </c>
      <c r="K25" s="8">
        <f>$A$29*$H25*K$23</f>
        <v>7369.6139999999996</v>
      </c>
      <c r="L25" s="8">
        <f>$A$29*$H25*L$23</f>
        <v>3642.8895000000007</v>
      </c>
      <c r="M25" s="9"/>
      <c r="O25" s="2">
        <v>2</v>
      </c>
      <c r="P25" s="3"/>
      <c r="Q25" s="5">
        <f>I7-I25</f>
        <v>0</v>
      </c>
      <c r="R25" s="5">
        <f>J7-J25</f>
        <v>0</v>
      </c>
      <c r="S25" s="5">
        <f>K7-K25</f>
        <v>0</v>
      </c>
      <c r="T25" s="5">
        <f>L7-L25</f>
        <v>0</v>
      </c>
      <c r="U25" s="1"/>
    </row>
    <row r="26" spans="1:21" x14ac:dyDescent="0.25">
      <c r="A26" s="12">
        <v>1</v>
      </c>
      <c r="B26" t="s">
        <v>9</v>
      </c>
      <c r="G26" s="2">
        <v>3</v>
      </c>
      <c r="H26" s="3">
        <v>1.0934995547640247</v>
      </c>
      <c r="I26" s="8">
        <f>$A$29*$H26*I$23</f>
        <v>9211.3507999999983</v>
      </c>
      <c r="J26" s="8">
        <f>$A$29*$H26*J$23</f>
        <v>16251.965999999999</v>
      </c>
      <c r="K26" s="8">
        <f>$A$29*$H26*K$23</f>
        <v>8743.8511999999973</v>
      </c>
      <c r="L26" s="9"/>
      <c r="M26" s="9"/>
      <c r="O26" s="2">
        <v>3</v>
      </c>
      <c r="P26" s="3"/>
      <c r="Q26" s="5">
        <f>I8-I26</f>
        <v>0</v>
      </c>
      <c r="R26" s="5">
        <f>J8-J26</f>
        <v>0</v>
      </c>
      <c r="S26" s="5">
        <f>K8-K26</f>
        <v>0</v>
      </c>
      <c r="T26" s="1"/>
      <c r="U26" s="1"/>
    </row>
    <row r="27" spans="1:21" x14ac:dyDescent="0.25">
      <c r="A27" s="12">
        <v>1</v>
      </c>
      <c r="B27" t="s">
        <v>10</v>
      </c>
      <c r="G27" s="2">
        <v>4</v>
      </c>
      <c r="H27" s="3">
        <v>1.1976847729296527</v>
      </c>
      <c r="I27" s="8">
        <f>$A$29*$H27*I$23</f>
        <v>10088.979499999999</v>
      </c>
      <c r="J27" s="8">
        <f>$A$29*$H27*J$23</f>
        <v>17800.4025</v>
      </c>
      <c r="K27" s="9"/>
      <c r="L27" s="9"/>
      <c r="M27" s="9"/>
      <c r="O27" s="2">
        <v>4</v>
      </c>
      <c r="P27" s="3"/>
      <c r="Q27" s="5">
        <f>I9-I27</f>
        <v>0</v>
      </c>
      <c r="R27" s="5">
        <f>J9-J27</f>
        <v>0</v>
      </c>
      <c r="S27" s="1"/>
      <c r="T27" s="1"/>
      <c r="U27" s="1"/>
    </row>
    <row r="28" spans="1:21" x14ac:dyDescent="0.25">
      <c r="G28" s="2">
        <v>5</v>
      </c>
      <c r="H28" s="3">
        <v>1.2635796972395368</v>
      </c>
      <c r="I28" s="8">
        <f>$A$29*$H28*I$23</f>
        <v>10644.060899999999</v>
      </c>
      <c r="J28" s="9"/>
      <c r="K28" s="9"/>
      <c r="L28" s="9"/>
      <c r="M28" s="9"/>
      <c r="O28" s="2">
        <v>5</v>
      </c>
      <c r="P28" s="3"/>
      <c r="Q28" s="5">
        <f>I10-I28</f>
        <v>0</v>
      </c>
      <c r="R28" s="1"/>
      <c r="S28" s="1"/>
      <c r="T28" s="1"/>
      <c r="U28" s="1"/>
    </row>
    <row r="29" spans="1:21" ht="18" x14ac:dyDescent="0.35">
      <c r="A29" s="8">
        <f>INDEX(A19:E19,A26)*INDEX(A23:E23,A27)</f>
        <v>8423.7353000000003</v>
      </c>
      <c r="B29" t="s">
        <v>44</v>
      </c>
    </row>
    <row r="31" spans="1:21" x14ac:dyDescent="0.25">
      <c r="A31" s="11" t="s">
        <v>11</v>
      </c>
    </row>
    <row r="32" spans="1:21" x14ac:dyDescent="0.25">
      <c r="A32" t="s">
        <v>19</v>
      </c>
      <c r="B32" t="s">
        <v>24</v>
      </c>
    </row>
    <row r="34" spans="1:5" x14ac:dyDescent="0.25">
      <c r="A34" s="11" t="s">
        <v>20</v>
      </c>
      <c r="E34" s="6"/>
    </row>
    <row r="35" spans="1:5" x14ac:dyDescent="0.25">
      <c r="A35" s="2">
        <v>1</v>
      </c>
      <c r="B35" s="2">
        <v>2</v>
      </c>
      <c r="C35" s="2">
        <v>3</v>
      </c>
      <c r="D35" s="2">
        <v>4</v>
      </c>
      <c r="E35" s="2">
        <v>5</v>
      </c>
    </row>
    <row r="36" spans="1:5" x14ac:dyDescent="0.25">
      <c r="A36" s="8">
        <f>A19/INDEX($A$19:$E$19,$A$26)</f>
        <v>1</v>
      </c>
      <c r="B36" s="8">
        <f>B19/INDEX($A$19:$E$19,$A$26)</f>
        <v>0.9216384683882457</v>
      </c>
      <c r="C36" s="8">
        <f>C19/INDEX($A$19:$E$19,$A$26)</f>
        <v>1.0934995547640247</v>
      </c>
      <c r="D36" s="8">
        <f>D19/INDEX($A$19:$E$19,$A$26)</f>
        <v>1.1976847729296527</v>
      </c>
      <c r="E36" s="8">
        <f>E19/INDEX($A$19:$E$19,$A$26)</f>
        <v>1.2635796972395368</v>
      </c>
    </row>
    <row r="38" spans="1:5" x14ac:dyDescent="0.25">
      <c r="A38" s="11" t="s">
        <v>25</v>
      </c>
    </row>
    <row r="39" spans="1:5" x14ac:dyDescent="0.25">
      <c r="A39" s="2">
        <v>1</v>
      </c>
      <c r="B39" s="2">
        <v>2</v>
      </c>
      <c r="C39" s="2">
        <v>3</v>
      </c>
      <c r="D39" s="2">
        <v>4</v>
      </c>
      <c r="E39" s="2">
        <v>5</v>
      </c>
    </row>
    <row r="40" spans="1:5" x14ac:dyDescent="0.25">
      <c r="A40" s="8">
        <f>A23/INDEX($A$23:$E$23,$A$27)</f>
        <v>1</v>
      </c>
      <c r="B40" s="8">
        <f>B23/INDEX($A$23:$E$23,$A$27)</f>
        <v>1.7643412299529404</v>
      </c>
      <c r="C40" s="8">
        <f>C23/INDEX($A$23:$E$23,$A$27)</f>
        <v>0.94924744370825609</v>
      </c>
      <c r="D40" s="8">
        <f>D23/INDEX($A$23:$E$23,$A$27)</f>
        <v>0.46922451373798518</v>
      </c>
      <c r="E40" s="8">
        <f>E23/INDEX($A$23:$E$23,$A$27)</f>
        <v>6.7630080921464844E-2</v>
      </c>
    </row>
  </sheetData>
  <dataValidations count="3">
    <dataValidation type="whole" allowBlank="1" showInputMessage="1" showErrorMessage="1" errorTitle="Invalid Entry" error="Enter the exposure period of the reference cell. Must be an integer between 1 and 5." promptTitle="Exporsure Period" prompt="Enter the exposure period of the reference cell. Must be an integer between 1 and 5." sqref="A26">
      <formula1>1</formula1>
      <formula2>5</formula2>
    </dataValidation>
    <dataValidation type="whole" allowBlank="1" showInputMessage="1" showErrorMessage="1" errorTitle="Invalid Entry" error="Enter the development period of the reference cell. Must be an integer between 1 and 5." promptTitle="Development Period" prompt="Enter the development period of the reference cell. Must be an integer between 1 and 5." sqref="A27">
      <formula1>1</formula1>
      <formula2>5</formula2>
    </dataValidation>
    <dataValidation type="decimal" operator="greaterThan" showInputMessage="1" showErrorMessage="1" errorTitle="Invalid Entry" error="Please enter a positive number." promptTitle="Positive Number" prompt="Please enter a positive number." sqref="A5:E5 A9:E9 A1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>
      <selection activeCell="I29" sqref="I29"/>
    </sheetView>
  </sheetViews>
  <sheetFormatPr defaultRowHeight="15" x14ac:dyDescent="0.25"/>
  <cols>
    <col min="1" max="5" width="9.85546875" customWidth="1"/>
    <col min="6" max="6" width="2.85546875" customWidth="1"/>
    <col min="7" max="13" width="9.7109375" customWidth="1"/>
    <col min="14" max="14" width="2.85546875" customWidth="1"/>
    <col min="15" max="21" width="9.7109375" customWidth="1"/>
  </cols>
  <sheetData>
    <row r="1" spans="1:21" ht="18.75" x14ac:dyDescent="0.3">
      <c r="A1" s="13" t="s">
        <v>27</v>
      </c>
    </row>
    <row r="3" spans="1:21" x14ac:dyDescent="0.25">
      <c r="A3" s="11" t="s">
        <v>38</v>
      </c>
      <c r="G3" s="11" t="s">
        <v>29</v>
      </c>
      <c r="O3" s="11" t="s">
        <v>28</v>
      </c>
    </row>
    <row r="4" spans="1:2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G4" s="2" t="s">
        <v>0</v>
      </c>
      <c r="H4" s="2" t="s">
        <v>13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O4" s="2" t="s">
        <v>0</v>
      </c>
      <c r="P4" s="2" t="s">
        <v>13</v>
      </c>
      <c r="Q4" s="2">
        <v>1</v>
      </c>
      <c r="R4" s="2">
        <v>2</v>
      </c>
      <c r="S4" s="2">
        <v>3</v>
      </c>
      <c r="T4" s="2">
        <v>4</v>
      </c>
      <c r="U4" s="2">
        <v>5</v>
      </c>
    </row>
    <row r="5" spans="1:21" x14ac:dyDescent="0.25">
      <c r="A5" s="8">
        <f t="array" ref="A5:E5">LN('(1) Mult with Exp &amp; Dev'!A5:E5)</f>
        <v>2.418588768750352</v>
      </c>
      <c r="B5" s="8">
        <v>2.3369865197113779</v>
      </c>
      <c r="C5" s="8">
        <v>2.5079719227189963</v>
      </c>
      <c r="D5" s="8">
        <v>2.5989791060478482</v>
      </c>
      <c r="E5" s="8">
        <v>2.6525374911719513</v>
      </c>
      <c r="G5" s="2" t="s">
        <v>14</v>
      </c>
      <c r="H5" s="3" t="s">
        <v>8</v>
      </c>
      <c r="I5" s="3">
        <f t="array" ref="I5:M5">A9:E9</f>
        <v>6.6202198624425188</v>
      </c>
      <c r="J5" s="3">
        <v>7.1879972423362233</v>
      </c>
      <c r="K5" s="3">
        <v>6.5681340896092317</v>
      </c>
      <c r="L5" s="3">
        <v>5.8635459446933194</v>
      </c>
      <c r="M5" s="3">
        <v>3.9265174515785985</v>
      </c>
      <c r="O5" s="2" t="s">
        <v>14</v>
      </c>
      <c r="P5" s="3"/>
      <c r="Q5" s="3"/>
      <c r="R5" s="3"/>
      <c r="S5" s="3"/>
      <c r="T5" s="3"/>
      <c r="U5" s="3"/>
    </row>
    <row r="6" spans="1:21" x14ac:dyDescent="0.25">
      <c r="G6" s="2">
        <v>1</v>
      </c>
      <c r="H6" s="3">
        <f t="array" ref="H6:H10">TRANSPOSE(A5:E5)</f>
        <v>2.418588768750352</v>
      </c>
      <c r="I6" s="8">
        <f>EXP($H6+I$5)</f>
        <v>8423.7353000000094</v>
      </c>
      <c r="J6" s="8">
        <f t="shared" ref="J6:L9" si="0">EXP($H6+J$5)</f>
        <v>14862.343500000001</v>
      </c>
      <c r="K6" s="8">
        <f t="shared" si="0"/>
        <v>7996.2092000000048</v>
      </c>
      <c r="L6" s="8">
        <f t="shared" si="0"/>
        <v>3952.6231000000002</v>
      </c>
      <c r="M6" s="8">
        <f>EXP($H6+M$5)</f>
        <v>569.69790000000035</v>
      </c>
      <c r="O6" s="2">
        <v>1</v>
      </c>
      <c r="P6" s="3"/>
      <c r="Q6" s="5">
        <f>'(1) Mult with Exp &amp; Dev'!I6-'(2) Log-Linear with Exp &amp; Dev'!I6</f>
        <v>0</v>
      </c>
      <c r="R6" s="5">
        <f>'(1) Mult with Exp &amp; Dev'!J6-'(2) Log-Linear with Exp &amp; Dev'!J6</f>
        <v>0</v>
      </c>
      <c r="S6" s="5">
        <f>'(1) Mult with Exp &amp; Dev'!K6-'(2) Log-Linear with Exp &amp; Dev'!K6</f>
        <v>0</v>
      </c>
      <c r="T6" s="5">
        <f>'(1) Mult with Exp &amp; Dev'!L6-'(2) Log-Linear with Exp &amp; Dev'!L6</f>
        <v>0</v>
      </c>
      <c r="U6" s="5">
        <f>'(1) Mult with Exp &amp; Dev'!M6-'(2) Log-Linear with Exp &amp; Dev'!M6</f>
        <v>0</v>
      </c>
    </row>
    <row r="7" spans="1:21" x14ac:dyDescent="0.25">
      <c r="A7" s="11" t="s">
        <v>34</v>
      </c>
      <c r="G7" s="2">
        <v>2</v>
      </c>
      <c r="H7" s="3">
        <v>2.3369865197113779</v>
      </c>
      <c r="I7" s="8">
        <f t="shared" ref="I7:I10" si="1">EXP($H7+I$5)</f>
        <v>7763.6385000000028</v>
      </c>
      <c r="J7" s="8">
        <f t="shared" si="0"/>
        <v>13697.70749999999</v>
      </c>
      <c r="K7" s="8">
        <f t="shared" si="0"/>
        <v>7369.6139999999987</v>
      </c>
      <c r="L7" s="8">
        <f t="shared" si="0"/>
        <v>3642.8894999999975</v>
      </c>
      <c r="M7" s="9"/>
      <c r="O7" s="2">
        <v>2</v>
      </c>
      <c r="P7" s="3"/>
      <c r="Q7" s="5">
        <f>'(1) Mult with Exp &amp; Dev'!I7-'(2) Log-Linear with Exp &amp; Dev'!I7</f>
        <v>0</v>
      </c>
      <c r="R7" s="5">
        <f>'(1) Mult with Exp &amp; Dev'!J7-'(2) Log-Linear with Exp &amp; Dev'!J7</f>
        <v>0</v>
      </c>
      <c r="S7" s="5">
        <f>'(1) Mult with Exp &amp; Dev'!K7-'(2) Log-Linear with Exp &amp; Dev'!K7</f>
        <v>0</v>
      </c>
      <c r="T7" s="5">
        <f>'(1) Mult with Exp &amp; Dev'!L7-'(2) Log-Linear with Exp &amp; Dev'!L7</f>
        <v>0</v>
      </c>
      <c r="U7" s="1"/>
    </row>
    <row r="8" spans="1:2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G8" s="2">
        <v>3</v>
      </c>
      <c r="H8" s="3">
        <v>2.5079719227189963</v>
      </c>
      <c r="I8" s="8">
        <f t="shared" si="1"/>
        <v>9211.3508000000038</v>
      </c>
      <c r="J8" s="8">
        <f t="shared" si="0"/>
        <v>16251.965999999988</v>
      </c>
      <c r="K8" s="8">
        <f t="shared" si="0"/>
        <v>8743.8511999999992</v>
      </c>
      <c r="L8" s="9"/>
      <c r="M8" s="9"/>
      <c r="O8" s="2">
        <v>3</v>
      </c>
      <c r="P8" s="3"/>
      <c r="Q8" s="5">
        <f>'(1) Mult with Exp &amp; Dev'!I8-'(2) Log-Linear with Exp &amp; Dev'!I8</f>
        <v>0</v>
      </c>
      <c r="R8" s="5">
        <f>'(1) Mult with Exp &amp; Dev'!J8-'(2) Log-Linear with Exp &amp; Dev'!J8</f>
        <v>0</v>
      </c>
      <c r="S8" s="5">
        <f>'(1) Mult with Exp &amp; Dev'!K8-'(2) Log-Linear with Exp &amp; Dev'!K8</f>
        <v>0</v>
      </c>
      <c r="T8" s="1"/>
      <c r="U8" s="1"/>
    </row>
    <row r="9" spans="1:21" x14ac:dyDescent="0.25">
      <c r="A9" s="8">
        <f t="array" ref="A9:E9">LN('(1) Mult with Exp &amp; Dev'!A9:E9)</f>
        <v>6.6202198624425188</v>
      </c>
      <c r="B9" s="8">
        <v>7.1879972423362233</v>
      </c>
      <c r="C9" s="8">
        <v>6.5681340896092317</v>
      </c>
      <c r="D9" s="8">
        <v>5.8635459446933194</v>
      </c>
      <c r="E9" s="8">
        <v>3.9265174515785985</v>
      </c>
      <c r="G9" s="2">
        <v>4</v>
      </c>
      <c r="H9" s="3">
        <v>2.5989791060478482</v>
      </c>
      <c r="I9" s="8">
        <f t="shared" si="1"/>
        <v>10088.979500000005</v>
      </c>
      <c r="J9" s="8">
        <f t="shared" si="0"/>
        <v>17800.402499999993</v>
      </c>
      <c r="K9" s="9"/>
      <c r="L9" s="9"/>
      <c r="M9" s="9"/>
      <c r="O9" s="2">
        <v>4</v>
      </c>
      <c r="P9" s="3"/>
      <c r="Q9" s="5">
        <f>'(1) Mult with Exp &amp; Dev'!I9-'(2) Log-Linear with Exp &amp; Dev'!I9</f>
        <v>0</v>
      </c>
      <c r="R9" s="5">
        <f>'(1) Mult with Exp &amp; Dev'!J9-'(2) Log-Linear with Exp &amp; Dev'!J9</f>
        <v>0</v>
      </c>
      <c r="S9" s="1"/>
      <c r="T9" s="1"/>
      <c r="U9" s="1"/>
    </row>
    <row r="10" spans="1:21" x14ac:dyDescent="0.25">
      <c r="G10" s="2">
        <v>5</v>
      </c>
      <c r="H10" s="3">
        <v>2.6525374911719513</v>
      </c>
      <c r="I10" s="8">
        <f t="shared" si="1"/>
        <v>10644.060899999995</v>
      </c>
      <c r="J10" s="9"/>
      <c r="K10" s="9"/>
      <c r="L10" s="9"/>
      <c r="M10" s="9"/>
      <c r="O10" s="2">
        <v>5</v>
      </c>
      <c r="P10" s="3"/>
      <c r="Q10" s="5">
        <f>'(1) Mult with Exp &amp; Dev'!I10-'(2) Log-Linear with Exp &amp; Dev'!I10</f>
        <v>0</v>
      </c>
      <c r="R10" s="1"/>
      <c r="S10" s="1"/>
      <c r="T10" s="1"/>
      <c r="U10" s="1"/>
    </row>
    <row r="11" spans="1:21" x14ac:dyDescent="0.25">
      <c r="A11" s="11" t="s">
        <v>41</v>
      </c>
    </row>
    <row r="12" spans="1:21" x14ac:dyDescent="0.25">
      <c r="A12" s="8">
        <f>LN('(1) Mult with Exp &amp; Dev'!A12)</f>
        <v>4.3820266346738812</v>
      </c>
      <c r="G12" s="11" t="s">
        <v>30</v>
      </c>
      <c r="O12" s="11" t="s">
        <v>31</v>
      </c>
    </row>
    <row r="13" spans="1:21" x14ac:dyDescent="0.25">
      <c r="G13" s="2" t="s">
        <v>0</v>
      </c>
      <c r="H13" s="2" t="s">
        <v>13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O13" s="2" t="s">
        <v>0</v>
      </c>
      <c r="P13" s="2" t="s">
        <v>13</v>
      </c>
      <c r="Q13" s="2">
        <v>1</v>
      </c>
      <c r="R13" s="2">
        <v>2</v>
      </c>
      <c r="S13" s="2">
        <v>3</v>
      </c>
      <c r="T13" s="2">
        <v>4</v>
      </c>
      <c r="U13" s="2">
        <v>5</v>
      </c>
    </row>
    <row r="14" spans="1:21" x14ac:dyDescent="0.25">
      <c r="A14" s="11" t="s">
        <v>2</v>
      </c>
      <c r="G14" s="2" t="s">
        <v>14</v>
      </c>
      <c r="H14" s="3" t="s">
        <v>8</v>
      </c>
      <c r="I14" s="3">
        <f t="array" ref="I14:M14">A23:E23</f>
        <v>2.2381932277686376</v>
      </c>
      <c r="J14" s="3">
        <v>2.8059706076623421</v>
      </c>
      <c r="K14" s="3">
        <v>2.1861074549353505</v>
      </c>
      <c r="L14" s="3">
        <v>1.4815193100194382</v>
      </c>
      <c r="M14" s="3">
        <v>-0.45550918309528265</v>
      </c>
      <c r="O14" s="2" t="s">
        <v>14</v>
      </c>
      <c r="P14" s="3"/>
      <c r="Q14" s="3"/>
      <c r="R14" s="3"/>
      <c r="S14" s="3"/>
      <c r="T14" s="3"/>
      <c r="U14" s="3"/>
    </row>
    <row r="15" spans="1:21" x14ac:dyDescent="0.25">
      <c r="A15" s="7" t="s">
        <v>42</v>
      </c>
      <c r="B15" s="7" t="s">
        <v>43</v>
      </c>
      <c r="G15" s="2">
        <v>1</v>
      </c>
      <c r="H15" s="3">
        <f t="array" ref="H15:H19">TRANSPOSE(A19:E19)</f>
        <v>6.8006154034242332</v>
      </c>
      <c r="I15" s="8">
        <f>EXP($H15+I$14)</f>
        <v>8423.7353000000094</v>
      </c>
      <c r="J15" s="8">
        <f t="shared" ref="J15:L18" si="2">EXP($H15+J$14)</f>
        <v>14862.343500000001</v>
      </c>
      <c r="K15" s="8">
        <f t="shared" si="2"/>
        <v>7996.2092000000048</v>
      </c>
      <c r="L15" s="8">
        <f t="shared" si="2"/>
        <v>3952.6231000000002</v>
      </c>
      <c r="M15" s="8">
        <f>EXP($H15+M$14)</f>
        <v>569.69790000000035</v>
      </c>
      <c r="O15" s="2">
        <v>1</v>
      </c>
      <c r="P15" s="3"/>
      <c r="Q15" s="5">
        <f>I6-I15</f>
        <v>0</v>
      </c>
      <c r="R15" s="5">
        <f>J6-J15</f>
        <v>0</v>
      </c>
      <c r="S15" s="5">
        <f>K6-K15</f>
        <v>0</v>
      </c>
      <c r="T15" s="5">
        <f>L6-L15</f>
        <v>0</v>
      </c>
      <c r="U15" s="5">
        <f>M6-M15</f>
        <v>0</v>
      </c>
    </row>
    <row r="16" spans="1:21" x14ac:dyDescent="0.25">
      <c r="G16" s="2">
        <v>2</v>
      </c>
      <c r="H16" s="3">
        <v>6.7190131543852587</v>
      </c>
      <c r="I16" s="8">
        <f t="shared" ref="I16:I19" si="3">EXP($H16+I$14)</f>
        <v>7763.6384999999891</v>
      </c>
      <c r="J16" s="8">
        <f t="shared" si="2"/>
        <v>13697.70749999999</v>
      </c>
      <c r="K16" s="8">
        <f t="shared" si="2"/>
        <v>7369.6139999999859</v>
      </c>
      <c r="L16" s="8">
        <f t="shared" si="2"/>
        <v>3642.8894999999975</v>
      </c>
      <c r="M16" s="9"/>
      <c r="O16" s="2">
        <v>2</v>
      </c>
      <c r="P16" s="3"/>
      <c r="Q16" s="5">
        <f>I7-I16</f>
        <v>1.3642420526593924E-11</v>
      </c>
      <c r="R16" s="5">
        <f>J7-J16</f>
        <v>0</v>
      </c>
      <c r="S16" s="5">
        <f>K7-K16</f>
        <v>1.2732925824820995E-11</v>
      </c>
      <c r="T16" s="5">
        <f>L7-L16</f>
        <v>0</v>
      </c>
      <c r="U16" s="1"/>
    </row>
    <row r="17" spans="1:21" x14ac:dyDescent="0.25">
      <c r="A17" s="11" t="s">
        <v>18</v>
      </c>
      <c r="G17" s="2">
        <v>3</v>
      </c>
      <c r="H17" s="3">
        <v>6.889998557392877</v>
      </c>
      <c r="I17" s="8">
        <f t="shared" si="3"/>
        <v>9211.3508000000038</v>
      </c>
      <c r="J17" s="8">
        <f t="shared" si="2"/>
        <v>16251.965999999988</v>
      </c>
      <c r="K17" s="8">
        <f t="shared" si="2"/>
        <v>8743.8511999999992</v>
      </c>
      <c r="L17" s="9"/>
      <c r="M17" s="9"/>
      <c r="O17" s="2">
        <v>3</v>
      </c>
      <c r="P17" s="3"/>
      <c r="Q17" s="5">
        <f>I8-I17</f>
        <v>0</v>
      </c>
      <c r="R17" s="5">
        <f>J8-J17</f>
        <v>0</v>
      </c>
      <c r="S17" s="5">
        <f>K8-K17</f>
        <v>0</v>
      </c>
      <c r="T17" s="1"/>
      <c r="U17" s="1"/>
    </row>
    <row r="18" spans="1:21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G18" s="2">
        <v>4</v>
      </c>
      <c r="H18" s="3">
        <v>6.981005740721729</v>
      </c>
      <c r="I18" s="8">
        <f t="shared" si="3"/>
        <v>10088.979500000005</v>
      </c>
      <c r="J18" s="8">
        <f t="shared" si="2"/>
        <v>17800.402499999993</v>
      </c>
      <c r="K18" s="9"/>
      <c r="L18" s="9"/>
      <c r="M18" s="9"/>
      <c r="O18" s="2">
        <v>4</v>
      </c>
      <c r="P18" s="3"/>
      <c r="Q18" s="5">
        <f>I9-I18</f>
        <v>0</v>
      </c>
      <c r="R18" s="5">
        <f>J9-J18</f>
        <v>0</v>
      </c>
      <c r="S18" s="1"/>
      <c r="T18" s="1"/>
      <c r="U18" s="1"/>
    </row>
    <row r="19" spans="1:21" x14ac:dyDescent="0.25">
      <c r="A19" s="8">
        <f>A5+$A$12</f>
        <v>6.8006154034242332</v>
      </c>
      <c r="B19" s="8">
        <f t="shared" ref="B19:E19" si="4">B5+$A$12</f>
        <v>6.7190131543852587</v>
      </c>
      <c r="C19" s="8">
        <f t="shared" si="4"/>
        <v>6.889998557392877</v>
      </c>
      <c r="D19" s="8">
        <f t="shared" si="4"/>
        <v>6.981005740721729</v>
      </c>
      <c r="E19" s="8">
        <f t="shared" si="4"/>
        <v>7.0345641258458329</v>
      </c>
      <c r="G19" s="2">
        <v>5</v>
      </c>
      <c r="H19" s="3">
        <v>7.0345641258458329</v>
      </c>
      <c r="I19" s="8">
        <f t="shared" si="3"/>
        <v>10644.060899999995</v>
      </c>
      <c r="J19" s="9"/>
      <c r="K19" s="9"/>
      <c r="L19" s="9"/>
      <c r="M19" s="9"/>
      <c r="O19" s="2">
        <v>5</v>
      </c>
      <c r="P19" s="3"/>
      <c r="Q19" s="5">
        <f>I10-I19</f>
        <v>0</v>
      </c>
      <c r="R19" s="1"/>
      <c r="S19" s="1"/>
      <c r="T19" s="1"/>
      <c r="U19" s="1"/>
    </row>
    <row r="21" spans="1:21" x14ac:dyDescent="0.25">
      <c r="A21" s="11" t="s">
        <v>35</v>
      </c>
      <c r="G21" s="11" t="s">
        <v>32</v>
      </c>
      <c r="O21" s="11" t="s">
        <v>33</v>
      </c>
    </row>
    <row r="22" spans="1:21" x14ac:dyDescent="0.25">
      <c r="A22" s="2">
        <v>1</v>
      </c>
      <c r="B22" s="2">
        <v>2</v>
      </c>
      <c r="C22" s="2">
        <v>3</v>
      </c>
      <c r="D22" s="2">
        <v>4</v>
      </c>
      <c r="E22" s="2">
        <v>5</v>
      </c>
      <c r="G22" s="2" t="s">
        <v>0</v>
      </c>
      <c r="H22" s="2" t="s">
        <v>13</v>
      </c>
      <c r="I22" s="2">
        <v>1</v>
      </c>
      <c r="J22" s="2">
        <v>2</v>
      </c>
      <c r="K22" s="2">
        <v>3</v>
      </c>
      <c r="L22" s="2">
        <v>4</v>
      </c>
      <c r="M22" s="2">
        <v>5</v>
      </c>
      <c r="O22" s="2" t="s">
        <v>0</v>
      </c>
      <c r="P22" s="2" t="s">
        <v>13</v>
      </c>
      <c r="Q22" s="2">
        <v>1</v>
      </c>
      <c r="R22" s="2">
        <v>2</v>
      </c>
      <c r="S22" s="2">
        <v>3</v>
      </c>
      <c r="T22" s="2">
        <v>4</v>
      </c>
      <c r="U22" s="2">
        <v>5</v>
      </c>
    </row>
    <row r="23" spans="1:21" x14ac:dyDescent="0.25">
      <c r="A23" s="8">
        <f>A9-$A$12</f>
        <v>2.2381932277686376</v>
      </c>
      <c r="B23" s="8">
        <f t="shared" ref="B23:E23" si="5">B9-$A$12</f>
        <v>2.8059706076623421</v>
      </c>
      <c r="C23" s="8">
        <f t="shared" si="5"/>
        <v>2.1861074549353505</v>
      </c>
      <c r="D23" s="8">
        <f t="shared" si="5"/>
        <v>1.4815193100194382</v>
      </c>
      <c r="E23" s="8">
        <f t="shared" si="5"/>
        <v>-0.45550918309528265</v>
      </c>
      <c r="G23" s="2" t="s">
        <v>14</v>
      </c>
      <c r="H23" s="3" t="s">
        <v>15</v>
      </c>
      <c r="I23" s="3">
        <f t="array" ref="I23:M23">A40:E40</f>
        <v>0</v>
      </c>
      <c r="J23" s="3">
        <v>0.56777737989370447</v>
      </c>
      <c r="K23" s="3">
        <v>-5.2085772833287081E-2</v>
      </c>
      <c r="L23" s="3">
        <v>-0.75667391774919945</v>
      </c>
      <c r="M23" s="3">
        <v>-2.6937024108639203</v>
      </c>
      <c r="O23" s="2" t="s">
        <v>14</v>
      </c>
      <c r="P23" s="3"/>
      <c r="Q23" s="3"/>
      <c r="R23" s="3"/>
      <c r="S23" s="3"/>
      <c r="T23" s="3"/>
      <c r="U23" s="3"/>
    </row>
    <row r="24" spans="1:21" x14ac:dyDescent="0.25">
      <c r="G24" s="2">
        <v>1</v>
      </c>
      <c r="H24" s="3">
        <f t="array" ref="H24:H28">TRANSPOSE(A36:E36)</f>
        <v>0</v>
      </c>
      <c r="I24" s="8">
        <f>EXP($A$29+$H24+I$23)</f>
        <v>8423.7353000000094</v>
      </c>
      <c r="J24" s="8">
        <f t="shared" ref="J24:L27" si="6">EXP($A$29+$H24+J$23)</f>
        <v>14862.343500000026</v>
      </c>
      <c r="K24" s="8">
        <f t="shared" si="6"/>
        <v>7996.2092000000048</v>
      </c>
      <c r="L24" s="8">
        <f t="shared" si="6"/>
        <v>3952.6231000000002</v>
      </c>
      <c r="M24" s="8">
        <f>EXP($A$29+$H24+M$23)</f>
        <v>569.69790000000035</v>
      </c>
      <c r="O24" s="2">
        <v>1</v>
      </c>
      <c r="P24" s="3"/>
      <c r="Q24" s="5">
        <f>I6-I24</f>
        <v>0</v>
      </c>
      <c r="R24" s="5">
        <f>J6-J24</f>
        <v>-2.5465851649641991E-11</v>
      </c>
      <c r="S24" s="5">
        <f>K6-K24</f>
        <v>0</v>
      </c>
      <c r="T24" s="5">
        <f>L6-L24</f>
        <v>0</v>
      </c>
      <c r="U24" s="5">
        <f>M6-M24</f>
        <v>0</v>
      </c>
    </row>
    <row r="25" spans="1:21" x14ac:dyDescent="0.25">
      <c r="A25" s="11" t="s">
        <v>6</v>
      </c>
      <c r="G25" s="2">
        <v>2</v>
      </c>
      <c r="H25" s="3">
        <v>-8.1602249038974506E-2</v>
      </c>
      <c r="I25" s="8">
        <f t="shared" ref="I25:I28" si="7">EXP($A$29+$H25+I$23)</f>
        <v>7763.6385000000028</v>
      </c>
      <c r="J25" s="8">
        <f t="shared" si="6"/>
        <v>13697.70749999999</v>
      </c>
      <c r="K25" s="8">
        <f t="shared" si="6"/>
        <v>7369.6139999999987</v>
      </c>
      <c r="L25" s="8">
        <f t="shared" si="6"/>
        <v>3642.8895000000039</v>
      </c>
      <c r="M25" s="9"/>
      <c r="O25" s="2">
        <v>2</v>
      </c>
      <c r="P25" s="3"/>
      <c r="Q25" s="5">
        <f>I7-I25</f>
        <v>0</v>
      </c>
      <c r="R25" s="5">
        <f>J7-J25</f>
        <v>0</v>
      </c>
      <c r="S25" s="5">
        <f>K7-K25</f>
        <v>0</v>
      </c>
      <c r="T25" s="5">
        <f>L7-L25</f>
        <v>-6.3664629124104977E-12</v>
      </c>
      <c r="U25" s="1"/>
    </row>
    <row r="26" spans="1:21" x14ac:dyDescent="0.25">
      <c r="A26" s="8">
        <f>'(1) Mult with Exp &amp; Dev'!A26</f>
        <v>1</v>
      </c>
      <c r="B26" t="s">
        <v>9</v>
      </c>
      <c r="G26" s="2">
        <v>3</v>
      </c>
      <c r="H26" s="3">
        <v>8.9383153968643825E-2</v>
      </c>
      <c r="I26" s="8">
        <f t="shared" si="7"/>
        <v>9211.3508000000038</v>
      </c>
      <c r="J26" s="8">
        <f t="shared" si="6"/>
        <v>16251.966000000017</v>
      </c>
      <c r="K26" s="8">
        <f t="shared" si="6"/>
        <v>8743.8511999999992</v>
      </c>
      <c r="L26" s="9"/>
      <c r="M26" s="9"/>
      <c r="O26" s="2">
        <v>3</v>
      </c>
      <c r="P26" s="3"/>
      <c r="Q26" s="5">
        <f>I8-I26</f>
        <v>0</v>
      </c>
      <c r="R26" s="5">
        <f>J8-J26</f>
        <v>-2.9103830456733704E-11</v>
      </c>
      <c r="S26" s="5">
        <f>K8-K26</f>
        <v>0</v>
      </c>
      <c r="T26" s="1"/>
      <c r="U26" s="1"/>
    </row>
    <row r="27" spans="1:21" x14ac:dyDescent="0.25">
      <c r="A27" s="8">
        <f>'(1) Mult with Exp &amp; Dev'!A27</f>
        <v>1</v>
      </c>
      <c r="B27" t="s">
        <v>10</v>
      </c>
      <c r="G27" s="2">
        <v>4</v>
      </c>
      <c r="H27" s="3">
        <v>0.18039033729749576</v>
      </c>
      <c r="I27" s="8">
        <f t="shared" si="7"/>
        <v>10088.979500000005</v>
      </c>
      <c r="J27" s="8">
        <f t="shared" si="6"/>
        <v>17800.402500000022</v>
      </c>
      <c r="K27" s="9"/>
      <c r="L27" s="9"/>
      <c r="M27" s="9"/>
      <c r="O27" s="2">
        <v>4</v>
      </c>
      <c r="P27" s="3"/>
      <c r="Q27" s="5">
        <f>I9-I27</f>
        <v>0</v>
      </c>
      <c r="R27" s="5">
        <f>J9-J27</f>
        <v>-2.9103830456733704E-11</v>
      </c>
      <c r="S27" s="1"/>
      <c r="T27" s="1"/>
      <c r="U27" s="1"/>
    </row>
    <row r="28" spans="1:21" x14ac:dyDescent="0.25">
      <c r="G28" s="2">
        <v>5</v>
      </c>
      <c r="H28" s="3">
        <v>0.2339487224215997</v>
      </c>
      <c r="I28" s="8">
        <f t="shared" si="7"/>
        <v>10644.060900000015</v>
      </c>
      <c r="J28" s="9"/>
      <c r="K28" s="9"/>
      <c r="L28" s="9"/>
      <c r="M28" s="9"/>
      <c r="O28" s="2">
        <v>5</v>
      </c>
      <c r="P28" s="3"/>
      <c r="Q28" s="5">
        <f>I10-I28</f>
        <v>-2.0008883439004421E-11</v>
      </c>
      <c r="R28" s="1"/>
      <c r="S28" s="1"/>
      <c r="T28" s="1"/>
      <c r="U28" s="1"/>
    </row>
    <row r="29" spans="1:21" ht="18" x14ac:dyDescent="0.35">
      <c r="A29" s="8">
        <f>INDEX(A19:E19,A26)+INDEX(A23:E23,A27)</f>
        <v>9.0388086311928717</v>
      </c>
      <c r="B29" t="s">
        <v>45</v>
      </c>
    </row>
    <row r="31" spans="1:21" x14ac:dyDescent="0.25">
      <c r="A31" s="11" t="s">
        <v>11</v>
      </c>
    </row>
    <row r="32" spans="1:21" ht="18" x14ac:dyDescent="0.35">
      <c r="A32" t="s">
        <v>37</v>
      </c>
      <c r="B32" t="s">
        <v>36</v>
      </c>
    </row>
    <row r="34" spans="1:5" x14ac:dyDescent="0.25">
      <c r="A34" s="11" t="s">
        <v>39</v>
      </c>
      <c r="E34" s="6"/>
    </row>
    <row r="35" spans="1:5" x14ac:dyDescent="0.25">
      <c r="A35" s="2">
        <v>1</v>
      </c>
      <c r="B35" s="2">
        <v>2</v>
      </c>
      <c r="C35" s="2">
        <v>3</v>
      </c>
      <c r="D35" s="2">
        <v>4</v>
      </c>
      <c r="E35" s="2">
        <v>5</v>
      </c>
    </row>
    <row r="36" spans="1:5" x14ac:dyDescent="0.25">
      <c r="A36" s="8">
        <f>A19-INDEX($A$19:$E$19,$A$26)</f>
        <v>0</v>
      </c>
      <c r="B36" s="8">
        <f t="shared" ref="B36:E36" si="8">B19-INDEX($A$19:$E$19,$A$26)</f>
        <v>-8.1602249038974506E-2</v>
      </c>
      <c r="C36" s="8">
        <f t="shared" si="8"/>
        <v>8.9383153968643825E-2</v>
      </c>
      <c r="D36" s="8">
        <f t="shared" si="8"/>
        <v>0.18039033729749576</v>
      </c>
      <c r="E36" s="8">
        <f t="shared" si="8"/>
        <v>0.2339487224215997</v>
      </c>
    </row>
    <row r="38" spans="1:5" x14ac:dyDescent="0.25">
      <c r="A38" s="11" t="s">
        <v>40</v>
      </c>
    </row>
    <row r="39" spans="1:5" x14ac:dyDescent="0.25">
      <c r="A39" s="2">
        <v>1</v>
      </c>
      <c r="B39" s="2">
        <v>2</v>
      </c>
      <c r="C39" s="2">
        <v>3</v>
      </c>
      <c r="D39" s="2">
        <v>4</v>
      </c>
      <c r="E39" s="2">
        <v>5</v>
      </c>
    </row>
    <row r="40" spans="1:5" x14ac:dyDescent="0.25">
      <c r="A40" s="8">
        <f>A23-INDEX($A$23:$E$23,$A$27)</f>
        <v>0</v>
      </c>
      <c r="B40" s="8">
        <f t="shared" ref="B40:E40" si="9">B23-INDEX($A$23:$E$23,$A$27)</f>
        <v>0.56777737989370447</v>
      </c>
      <c r="C40" s="8">
        <f t="shared" si="9"/>
        <v>-5.2085772833287081E-2</v>
      </c>
      <c r="D40" s="8">
        <f t="shared" si="9"/>
        <v>-0.75667391774919945</v>
      </c>
      <c r="E40" s="8">
        <f t="shared" si="9"/>
        <v>-2.6937024108639203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B1" workbookViewId="0">
      <selection activeCell="B2" sqref="B2"/>
    </sheetView>
  </sheetViews>
  <sheetFormatPr defaultRowHeight="15" x14ac:dyDescent="0.25"/>
  <cols>
    <col min="1" max="1" width="9.140625" hidden="1" customWidth="1"/>
    <col min="2" max="4" width="9.140625" customWidth="1"/>
    <col min="16" max="16" width="10.5703125" bestFit="1" customWidth="1"/>
  </cols>
  <sheetData>
    <row r="1" spans="1:27" ht="18.75" x14ac:dyDescent="0.3">
      <c r="B1" s="13" t="s">
        <v>101</v>
      </c>
    </row>
    <row r="3" spans="1:27" s="21" customFormat="1" ht="17.25" x14ac:dyDescent="0.25">
      <c r="B3" s="25" t="s">
        <v>107</v>
      </c>
      <c r="E3" s="25" t="s">
        <v>111</v>
      </c>
      <c r="M3" s="25" t="s">
        <v>110</v>
      </c>
      <c r="U3" s="25" t="s">
        <v>109</v>
      </c>
    </row>
    <row r="4" spans="1:27" x14ac:dyDescent="0.25">
      <c r="B4" s="19" t="s">
        <v>102</v>
      </c>
      <c r="C4" s="8">
        <f>'(2) Log-Linear with Exp &amp; Dev'!A29</f>
        <v>9.0388086311928717</v>
      </c>
      <c r="E4" s="2" t="s">
        <v>0</v>
      </c>
      <c r="F4" s="2" t="s">
        <v>13</v>
      </c>
      <c r="G4" s="2">
        <v>1</v>
      </c>
      <c r="H4" s="2">
        <v>2</v>
      </c>
      <c r="I4" s="2">
        <v>3</v>
      </c>
      <c r="J4" s="2">
        <v>4</v>
      </c>
      <c r="K4" s="2">
        <v>5</v>
      </c>
      <c r="M4" s="2" t="s">
        <v>0</v>
      </c>
      <c r="N4" s="2" t="s">
        <v>13</v>
      </c>
      <c r="O4" s="2">
        <v>1</v>
      </c>
      <c r="P4" s="2">
        <v>2</v>
      </c>
      <c r="Q4" s="2">
        <v>3</v>
      </c>
      <c r="R4" s="2">
        <v>4</v>
      </c>
      <c r="S4" s="2">
        <v>5</v>
      </c>
      <c r="U4" s="2" t="s">
        <v>0</v>
      </c>
      <c r="V4" s="2" t="s">
        <v>13</v>
      </c>
      <c r="W4" s="2">
        <v>1</v>
      </c>
      <c r="X4" s="2">
        <v>2</v>
      </c>
      <c r="Y4" s="2">
        <v>3</v>
      </c>
      <c r="Z4" s="2">
        <v>4</v>
      </c>
      <c r="AA4" s="2">
        <v>5</v>
      </c>
    </row>
    <row r="5" spans="1:27" x14ac:dyDescent="0.25">
      <c r="A5" s="14">
        <f t="array" aca="1" ref="A5:A12" ca="1">TRANSPOSE(F15:M15)</f>
        <v>2</v>
      </c>
      <c r="B5" s="2" t="str">
        <f ca="1">"α"&amp;INDEX(SubNums,A5+1)</f>
        <v>α₂</v>
      </c>
      <c r="C5" s="8">
        <f ca="1">INDEX('(2) Log-Linear with Exp &amp; Dev'!$A$36:$E$36,A5)</f>
        <v>-8.1602249038974506E-2</v>
      </c>
      <c r="E5" s="2" t="s">
        <v>14</v>
      </c>
      <c r="F5" s="3"/>
      <c r="G5" s="3"/>
      <c r="H5" s="3"/>
      <c r="I5" s="3"/>
      <c r="J5" s="3"/>
      <c r="K5" s="3"/>
      <c r="M5" s="2" t="s">
        <v>14</v>
      </c>
      <c r="N5" s="3"/>
      <c r="O5" s="3"/>
      <c r="P5" s="3"/>
      <c r="Q5" s="3"/>
      <c r="R5" s="3"/>
      <c r="S5" s="3"/>
      <c r="U5" s="2" t="s">
        <v>14</v>
      </c>
      <c r="V5" s="3"/>
      <c r="W5" s="3"/>
      <c r="X5" s="3"/>
      <c r="Y5" s="3"/>
      <c r="Z5" s="3"/>
      <c r="AA5" s="3"/>
    </row>
    <row r="6" spans="1:27" x14ac:dyDescent="0.25">
      <c r="A6" s="14">
        <f ca="1"/>
        <v>3</v>
      </c>
      <c r="B6" s="2" t="str">
        <f ca="1">"α"&amp;INDEX(SubNums,A6+1)</f>
        <v>α₃</v>
      </c>
      <c r="C6" s="8">
        <f ca="1">INDEX('(2) Log-Linear with Exp &amp; Dev'!$A$36:$E$36,A6)</f>
        <v>8.9383153968643825E-2</v>
      </c>
      <c r="E6" s="2">
        <v>1</v>
      </c>
      <c r="F6" s="3"/>
      <c r="G6" s="5">
        <f ca="1">IF(W6&lt;&gt;"",INDEX($P$17:$P$31,W6),"")</f>
        <v>8423.7353000000094</v>
      </c>
      <c r="H6" s="5">
        <f t="shared" ref="H6:H9" ca="1" si="0">IF(X6&lt;&gt;"",INDEX($P$17:$P$31,X6),"")</f>
        <v>14862.343500000026</v>
      </c>
      <c r="I6" s="5">
        <f t="shared" ref="I6:I8" ca="1" si="1">IF(Y6&lt;&gt;"",INDEX($P$17:$P$31,Y6),"")</f>
        <v>7996.2092000000048</v>
      </c>
      <c r="J6" s="5">
        <f t="shared" ref="J6:J7" ca="1" si="2">IF(Z6&lt;&gt;"",INDEX($P$17:$P$31,Z6),"")</f>
        <v>3952.6231000000002</v>
      </c>
      <c r="K6" s="5">
        <f ca="1">IF(AA6&lt;&gt;"",INDEX($P$17:$P$31,AA6),"")</f>
        <v>569.69790000000035</v>
      </c>
      <c r="M6" s="2">
        <v>1</v>
      </c>
      <c r="N6" s="3"/>
      <c r="O6" s="5">
        <f ca="1">'(1) Mult with Exp &amp; Dev'!I6-G6</f>
        <v>0</v>
      </c>
      <c r="P6" s="5">
        <f ca="1">'(1) Mult with Exp &amp; Dev'!J6-H6</f>
        <v>-2.5465851649641991E-11</v>
      </c>
      <c r="Q6" s="5">
        <f ca="1">'(1) Mult with Exp &amp; Dev'!K6-I6</f>
        <v>0</v>
      </c>
      <c r="R6" s="5">
        <f ca="1">'(1) Mult with Exp &amp; Dev'!L6-J6</f>
        <v>0</v>
      </c>
      <c r="S6" s="5">
        <f ca="1">'(1) Mult with Exp &amp; Dev'!M6-K6</f>
        <v>0</v>
      </c>
      <c r="U6" s="2">
        <v>1</v>
      </c>
      <c r="V6" s="3"/>
      <c r="W6" s="24">
        <f>IFERROR(MATCH(TEXT($U6,"#")&amp;"-"&amp;TEXT(W$4,"#"),$A$17:$A$31,0),"")</f>
        <v>1</v>
      </c>
      <c r="X6" s="24">
        <f t="shared" ref="X6:Z9" si="3">IFERROR(MATCH(TEXT($U6,"#")&amp;"-"&amp;TEXT(X$4,"#"),$A$17:$A$31,0),"")</f>
        <v>2</v>
      </c>
      <c r="Y6" s="24">
        <f t="shared" si="3"/>
        <v>3</v>
      </c>
      <c r="Z6" s="24">
        <f t="shared" si="3"/>
        <v>4</v>
      </c>
      <c r="AA6" s="24">
        <f>IFERROR(MATCH(TEXT($U6,"#")&amp;"-"&amp;TEXT(AA$4,"#"),$A$17:$A$31,0),"")</f>
        <v>5</v>
      </c>
    </row>
    <row r="7" spans="1:27" x14ac:dyDescent="0.25">
      <c r="A7" s="14">
        <f ca="1"/>
        <v>4</v>
      </c>
      <c r="B7" s="2" t="str">
        <f ca="1">"α"&amp;INDEX(SubNums,A7+1)</f>
        <v>α₄</v>
      </c>
      <c r="C7" s="8">
        <f ca="1">INDEX('(2) Log-Linear with Exp &amp; Dev'!$A$36:$E$36,A7)</f>
        <v>0.18039033729749576</v>
      </c>
      <c r="E7" s="2">
        <v>2</v>
      </c>
      <c r="F7" s="3"/>
      <c r="G7" s="5">
        <f t="shared" ref="G7:G10" ca="1" si="4">IF(W7&lt;&gt;"",INDEX($P$17:$P$31,W7),"")</f>
        <v>7763.6385000000028</v>
      </c>
      <c r="H7" s="5">
        <f t="shared" ca="1" si="0"/>
        <v>13697.70749999999</v>
      </c>
      <c r="I7" s="5">
        <f t="shared" ca="1" si="1"/>
        <v>7369.6139999999987</v>
      </c>
      <c r="J7" s="5">
        <f t="shared" ca="1" si="2"/>
        <v>3642.8895000000039</v>
      </c>
      <c r="K7" s="1"/>
      <c r="M7" s="2">
        <v>2</v>
      </c>
      <c r="N7" s="3"/>
      <c r="O7" s="5">
        <f ca="1">'(1) Mult with Exp &amp; Dev'!I7-G7</f>
        <v>0</v>
      </c>
      <c r="P7" s="5">
        <f ca="1">'(1) Mult with Exp &amp; Dev'!J7-H7</f>
        <v>0</v>
      </c>
      <c r="Q7" s="5">
        <f ca="1">'(1) Mult with Exp &amp; Dev'!K7-I7</f>
        <v>0</v>
      </c>
      <c r="R7" s="5">
        <f ca="1">'(1) Mult with Exp &amp; Dev'!L7-J7</f>
        <v>-3.637978807091713E-12</v>
      </c>
      <c r="S7" s="1"/>
      <c r="U7" s="2">
        <v>2</v>
      </c>
      <c r="V7" s="3"/>
      <c r="W7" s="24">
        <f t="shared" ref="W7:W10" si="5">IFERROR(MATCH(TEXT($U7,"#")&amp;"-"&amp;TEXT(W$4,"#"),$A$17:$A$31,0),"")</f>
        <v>6</v>
      </c>
      <c r="X7" s="24">
        <f t="shared" si="3"/>
        <v>7</v>
      </c>
      <c r="Y7" s="24">
        <f t="shared" si="3"/>
        <v>8</v>
      </c>
      <c r="Z7" s="24">
        <f t="shared" si="3"/>
        <v>9</v>
      </c>
      <c r="AA7" s="1"/>
    </row>
    <row r="8" spans="1:27" x14ac:dyDescent="0.25">
      <c r="A8" s="14">
        <f ca="1"/>
        <v>5</v>
      </c>
      <c r="B8" s="2" t="str">
        <f ca="1">"α"&amp;INDEX(SubNums,A8+1)</f>
        <v>α₅</v>
      </c>
      <c r="C8" s="8">
        <f ca="1">INDEX('(2) Log-Linear with Exp &amp; Dev'!$A$36:$E$36,A8)</f>
        <v>0.2339487224215997</v>
      </c>
      <c r="E8" s="2">
        <v>3</v>
      </c>
      <c r="F8" s="3"/>
      <c r="G8" s="5">
        <f t="shared" ca="1" si="4"/>
        <v>9211.3508000000038</v>
      </c>
      <c r="H8" s="5">
        <f t="shared" ca="1" si="0"/>
        <v>16251.966000000017</v>
      </c>
      <c r="I8" s="5">
        <f t="shared" ca="1" si="1"/>
        <v>8743.8511999999992</v>
      </c>
      <c r="J8" s="1"/>
      <c r="K8" s="1"/>
      <c r="M8" s="2">
        <v>3</v>
      </c>
      <c r="N8" s="3"/>
      <c r="O8" s="5">
        <f ca="1">'(1) Mult with Exp &amp; Dev'!I8-G8</f>
        <v>0</v>
      </c>
      <c r="P8" s="5">
        <f ca="1">'(1) Mult with Exp &amp; Dev'!J8-H8</f>
        <v>-1.6370904631912708E-11</v>
      </c>
      <c r="Q8" s="5">
        <f ca="1">'(1) Mult with Exp &amp; Dev'!K8-I8</f>
        <v>0</v>
      </c>
      <c r="R8" s="1"/>
      <c r="S8" s="1"/>
      <c r="U8" s="2">
        <v>3</v>
      </c>
      <c r="V8" s="3"/>
      <c r="W8" s="24">
        <f t="shared" si="5"/>
        <v>10</v>
      </c>
      <c r="X8" s="24">
        <f t="shared" si="3"/>
        <v>11</v>
      </c>
      <c r="Y8" s="24">
        <f t="shared" si="3"/>
        <v>12</v>
      </c>
      <c r="Z8" s="1"/>
      <c r="AA8" s="1"/>
    </row>
    <row r="9" spans="1:27" x14ac:dyDescent="0.25">
      <c r="A9" s="14">
        <f ca="1"/>
        <v>2</v>
      </c>
      <c r="B9" s="2" t="str">
        <f ca="1">"β"&amp;INDEX(SubNums,A9+1)</f>
        <v>β₂</v>
      </c>
      <c r="C9" s="8">
        <f ca="1">INDEX('(2) Log-Linear with Exp &amp; Dev'!$A$40:$E$40,A9)</f>
        <v>0.56777737989370447</v>
      </c>
      <c r="E9" s="2">
        <v>4</v>
      </c>
      <c r="F9" s="3"/>
      <c r="G9" s="5">
        <f t="shared" ca="1" si="4"/>
        <v>10088.979500000005</v>
      </c>
      <c r="H9" s="5">
        <f t="shared" ca="1" si="0"/>
        <v>17800.402500000022</v>
      </c>
      <c r="I9" s="1"/>
      <c r="J9" s="1"/>
      <c r="K9" s="1"/>
      <c r="M9" s="2">
        <v>4</v>
      </c>
      <c r="N9" s="3"/>
      <c r="O9" s="5">
        <f ca="1">'(1) Mult with Exp &amp; Dev'!I9-G9</f>
        <v>0</v>
      </c>
      <c r="P9" s="5">
        <f ca="1">'(1) Mult with Exp &amp; Dev'!J9-H9</f>
        <v>0</v>
      </c>
      <c r="Q9" s="1"/>
      <c r="R9" s="1"/>
      <c r="S9" s="1"/>
      <c r="U9" s="2">
        <v>4</v>
      </c>
      <c r="V9" s="3"/>
      <c r="W9" s="24">
        <f t="shared" si="5"/>
        <v>13</v>
      </c>
      <c r="X9" s="24">
        <f t="shared" si="3"/>
        <v>14</v>
      </c>
      <c r="Y9" s="1"/>
      <c r="Z9" s="1"/>
      <c r="AA9" s="1"/>
    </row>
    <row r="10" spans="1:27" x14ac:dyDescent="0.25">
      <c r="A10" s="14">
        <f ca="1"/>
        <v>3</v>
      </c>
      <c r="B10" s="2" t="str">
        <f ca="1">"β"&amp;INDEX(SubNums,A10+1)</f>
        <v>β₃</v>
      </c>
      <c r="C10" s="8">
        <f ca="1">INDEX('(2) Log-Linear with Exp &amp; Dev'!$A$40:$E$40,A10)</f>
        <v>-5.2085772833287081E-2</v>
      </c>
      <c r="E10" s="2">
        <v>5</v>
      </c>
      <c r="F10" s="3"/>
      <c r="G10" s="5">
        <f t="shared" ca="1" si="4"/>
        <v>10644.060900000015</v>
      </c>
      <c r="H10" s="1"/>
      <c r="I10" s="1"/>
      <c r="J10" s="1"/>
      <c r="K10" s="1"/>
      <c r="M10" s="2">
        <v>5</v>
      </c>
      <c r="N10" s="3"/>
      <c r="O10" s="5">
        <f ca="1">'(1) Mult with Exp &amp; Dev'!I10-G10</f>
        <v>-1.4551915228366852E-11</v>
      </c>
      <c r="P10" s="1"/>
      <c r="Q10" s="1"/>
      <c r="R10" s="1"/>
      <c r="S10" s="1"/>
      <c r="U10" s="2">
        <v>5</v>
      </c>
      <c r="V10" s="3"/>
      <c r="W10" s="24">
        <f t="shared" si="5"/>
        <v>15</v>
      </c>
      <c r="X10" s="1"/>
      <c r="Y10" s="1"/>
      <c r="Z10" s="1"/>
      <c r="AA10" s="1"/>
    </row>
    <row r="11" spans="1:27" x14ac:dyDescent="0.25">
      <c r="A11" s="14">
        <f ca="1"/>
        <v>4</v>
      </c>
      <c r="B11" s="2" t="str">
        <f ca="1">"β"&amp;INDEX(SubNums,A11+1)</f>
        <v>β₄</v>
      </c>
      <c r="C11" s="8">
        <f ca="1">INDEX('(2) Log-Linear with Exp &amp; Dev'!$A$40:$E$40,A11)</f>
        <v>-0.75667391774919945</v>
      </c>
    </row>
    <row r="12" spans="1:27" x14ac:dyDescent="0.25">
      <c r="A12" s="14">
        <f ca="1"/>
        <v>5</v>
      </c>
      <c r="B12" s="2" t="str">
        <f ca="1">"β"&amp;INDEX(SubNums,A12+1)</f>
        <v>β₅</v>
      </c>
      <c r="C12" s="8">
        <f ca="1">INDEX('(2) Log-Linear with Exp &amp; Dev'!$A$40:$E$40,A12)</f>
        <v>-2.6937024108639203</v>
      </c>
    </row>
    <row r="14" spans="1:27" x14ac:dyDescent="0.25">
      <c r="B14" s="11" t="s">
        <v>103</v>
      </c>
      <c r="E14" s="11" t="s">
        <v>108</v>
      </c>
      <c r="O14" s="11" t="s">
        <v>106</v>
      </c>
    </row>
    <row r="15" spans="1:27" x14ac:dyDescent="0.25">
      <c r="B15" s="11"/>
      <c r="E15" s="11"/>
      <c r="F15" s="20">
        <f ca="1">OFFSET('(2) Log-Linear with Exp &amp; Dev'!A35,0,IF('(2) Log-Linear with Exp &amp; Dev'!A35&gt;='(2) Log-Linear with Exp &amp; Dev'!$A$26,1,0))</f>
        <v>2</v>
      </c>
      <c r="G15" s="20">
        <f ca="1">OFFSET('(2) Log-Linear with Exp &amp; Dev'!B35,0,IF('(2) Log-Linear with Exp &amp; Dev'!B35&gt;='(2) Log-Linear with Exp &amp; Dev'!$A$26,1,0))</f>
        <v>3</v>
      </c>
      <c r="H15" s="20">
        <f ca="1">OFFSET('(2) Log-Linear with Exp &amp; Dev'!C35,0,IF('(2) Log-Linear with Exp &amp; Dev'!C35&gt;='(2) Log-Linear with Exp &amp; Dev'!$A$26,1,0))</f>
        <v>4</v>
      </c>
      <c r="I15" s="20">
        <f ca="1">OFFSET('(2) Log-Linear with Exp &amp; Dev'!D35,0,IF('(2) Log-Linear with Exp &amp; Dev'!D35&gt;='(2) Log-Linear with Exp &amp; Dev'!$A$26,1,0))</f>
        <v>5</v>
      </c>
      <c r="J15" s="20">
        <f ca="1">OFFSET('(2) Log-Linear with Exp &amp; Dev'!A39,0,IF('(2) Log-Linear with Exp &amp; Dev'!A39&gt;='(2) Log-Linear with Exp &amp; Dev'!$A$27,1,0))</f>
        <v>2</v>
      </c>
      <c r="K15" s="20">
        <f ca="1">OFFSET('(2) Log-Linear with Exp &amp; Dev'!B39,0,IF('(2) Log-Linear with Exp &amp; Dev'!B39&gt;='(2) Log-Linear with Exp &amp; Dev'!$A$27,1,0))</f>
        <v>3</v>
      </c>
      <c r="L15" s="20">
        <f ca="1">OFFSET('(2) Log-Linear with Exp &amp; Dev'!C39,0,IF('(2) Log-Linear with Exp &amp; Dev'!C39&gt;='(2) Log-Linear with Exp &amp; Dev'!$A$27,1,0))</f>
        <v>4</v>
      </c>
      <c r="M15" s="20">
        <f ca="1">OFFSET('(2) Log-Linear with Exp &amp; Dev'!D39,0,IF('(2) Log-Linear with Exp &amp; Dev'!D39&gt;='(2) Log-Linear with Exp &amp; Dev'!$A$27,1,0))</f>
        <v>5</v>
      </c>
    </row>
    <row r="16" spans="1:27" ht="17.25" x14ac:dyDescent="0.25">
      <c r="B16" s="19" t="s">
        <v>104</v>
      </c>
      <c r="C16" s="19" t="s">
        <v>105</v>
      </c>
      <c r="D16" s="14"/>
      <c r="E16" s="19" t="str">
        <f t="array" ref="E16:M16">TRANSPOSE(B4:B12)</f>
        <v>κ</v>
      </c>
      <c r="F16" s="19" t="str">
        <f ca="1"/>
        <v>α₂</v>
      </c>
      <c r="G16" s="19" t="str">
        <f ca="1"/>
        <v>α₃</v>
      </c>
      <c r="H16" s="19" t="str">
        <f ca="1"/>
        <v>α₄</v>
      </c>
      <c r="I16" s="19" t="str">
        <f ca="1"/>
        <v>α₅</v>
      </c>
      <c r="J16" s="19" t="str">
        <f ca="1"/>
        <v>β₂</v>
      </c>
      <c r="K16" s="19" t="str">
        <f ca="1"/>
        <v>β₃</v>
      </c>
      <c r="L16" s="19" t="str">
        <f ca="1"/>
        <v>β₄</v>
      </c>
      <c r="M16" s="19" t="str">
        <f ca="1"/>
        <v>β₅</v>
      </c>
      <c r="O16" s="19" t="s">
        <v>113</v>
      </c>
      <c r="P16" s="19" t="s">
        <v>112</v>
      </c>
    </row>
    <row r="17" spans="1:16" x14ac:dyDescent="0.25">
      <c r="A17" s="14" t="str">
        <f>TEXT(B17,"#")&amp;"-"&amp;TEXT(C17,"#")</f>
        <v>1-1</v>
      </c>
      <c r="B17" s="23">
        <v>1</v>
      </c>
      <c r="C17" s="23">
        <v>1</v>
      </c>
      <c r="E17" s="23">
        <v>1</v>
      </c>
      <c r="F17" s="23">
        <f ca="1">IF($B17=F$15,1,0)</f>
        <v>0</v>
      </c>
      <c r="G17" s="23">
        <f t="shared" ref="G17:I31" ca="1" si="6">IF($B17=G$15,1,0)</f>
        <v>0</v>
      </c>
      <c r="H17" s="23">
        <f t="shared" ca="1" si="6"/>
        <v>0</v>
      </c>
      <c r="I17" s="23">
        <f t="shared" ca="1" si="6"/>
        <v>0</v>
      </c>
      <c r="J17" s="23">
        <f ca="1">IF($C17=J$15,1,0)</f>
        <v>0</v>
      </c>
      <c r="K17" s="23">
        <f t="shared" ref="K17:M31" ca="1" si="7">IF($C17=K$15,1,0)</f>
        <v>0</v>
      </c>
      <c r="L17" s="23">
        <f t="shared" ca="1" si="7"/>
        <v>0</v>
      </c>
      <c r="M17" s="23">
        <f t="shared" ca="1" si="7"/>
        <v>0</v>
      </c>
      <c r="O17" s="8">
        <f t="array" aca="1" ref="O17:O31" ca="1">MMULT(E17:M31,C4:C12)</f>
        <v>9.0388086311928717</v>
      </c>
      <c r="P17" s="22">
        <f ca="1">EXP(O17)</f>
        <v>8423.7353000000094</v>
      </c>
    </row>
    <row r="18" spans="1:16" x14ac:dyDescent="0.25">
      <c r="A18" s="14" t="str">
        <f t="shared" ref="A18:A31" si="8">TEXT(B18,"#")&amp;"-"&amp;TEXT(C18,"#")</f>
        <v>1-2</v>
      </c>
      <c r="B18" s="23">
        <f>B17+IF(B17+C17=6,1,0)</f>
        <v>1</v>
      </c>
      <c r="C18" s="23">
        <f>IF(B17=B18,C17+1,1)</f>
        <v>2</v>
      </c>
      <c r="E18" s="23">
        <v>1</v>
      </c>
      <c r="F18" s="23">
        <f t="shared" ref="F18:F31" ca="1" si="9">IF($B18=F$15,1,0)</f>
        <v>0</v>
      </c>
      <c r="G18" s="23">
        <f t="shared" ca="1" si="6"/>
        <v>0</v>
      </c>
      <c r="H18" s="23">
        <f t="shared" ca="1" si="6"/>
        <v>0</v>
      </c>
      <c r="I18" s="23">
        <f t="shared" ca="1" si="6"/>
        <v>0</v>
      </c>
      <c r="J18" s="23">
        <f t="shared" ref="J18:J31" ca="1" si="10">IF($C18=J$15,1,0)</f>
        <v>1</v>
      </c>
      <c r="K18" s="23">
        <f t="shared" ca="1" si="7"/>
        <v>0</v>
      </c>
      <c r="L18" s="23">
        <f t="shared" ca="1" si="7"/>
        <v>0</v>
      </c>
      <c r="M18" s="23">
        <f t="shared" ca="1" si="7"/>
        <v>0</v>
      </c>
      <c r="O18" s="8">
        <f ca="1"/>
        <v>9.6065860110865771</v>
      </c>
      <c r="P18" s="22">
        <f t="shared" ref="P18:P31" ca="1" si="11">EXP(O18)</f>
        <v>14862.343500000026</v>
      </c>
    </row>
    <row r="19" spans="1:16" x14ac:dyDescent="0.25">
      <c r="A19" s="14" t="str">
        <f t="shared" si="8"/>
        <v>1-3</v>
      </c>
      <c r="B19" s="23">
        <f t="shared" ref="B19:B31" si="12">B18+IF(B18+C18=6,1,0)</f>
        <v>1</v>
      </c>
      <c r="C19" s="23">
        <f t="shared" ref="C19:C31" si="13">IF(B18=B19,C18+1,1)</f>
        <v>3</v>
      </c>
      <c r="E19" s="23">
        <v>1</v>
      </c>
      <c r="F19" s="23">
        <f t="shared" ca="1" si="9"/>
        <v>0</v>
      </c>
      <c r="G19" s="23">
        <f t="shared" ca="1" si="6"/>
        <v>0</v>
      </c>
      <c r="H19" s="23">
        <f t="shared" ca="1" si="6"/>
        <v>0</v>
      </c>
      <c r="I19" s="23">
        <f t="shared" ca="1" si="6"/>
        <v>0</v>
      </c>
      <c r="J19" s="23">
        <f t="shared" ca="1" si="10"/>
        <v>0</v>
      </c>
      <c r="K19" s="23">
        <f t="shared" ca="1" si="7"/>
        <v>1</v>
      </c>
      <c r="L19" s="23">
        <f t="shared" ca="1" si="7"/>
        <v>0</v>
      </c>
      <c r="M19" s="23">
        <f t="shared" ca="1" si="7"/>
        <v>0</v>
      </c>
      <c r="O19" s="8">
        <f ca="1"/>
        <v>8.9867228583595846</v>
      </c>
      <c r="P19" s="22">
        <f t="shared" ca="1" si="11"/>
        <v>7996.2092000000048</v>
      </c>
    </row>
    <row r="20" spans="1:16" x14ac:dyDescent="0.25">
      <c r="A20" s="14" t="str">
        <f t="shared" si="8"/>
        <v>1-4</v>
      </c>
      <c r="B20" s="23">
        <f t="shared" si="12"/>
        <v>1</v>
      </c>
      <c r="C20" s="23">
        <f t="shared" si="13"/>
        <v>4</v>
      </c>
      <c r="E20" s="23">
        <v>1</v>
      </c>
      <c r="F20" s="23">
        <f t="shared" ca="1" si="9"/>
        <v>0</v>
      </c>
      <c r="G20" s="23">
        <f t="shared" ca="1" si="6"/>
        <v>0</v>
      </c>
      <c r="H20" s="23">
        <f t="shared" ca="1" si="6"/>
        <v>0</v>
      </c>
      <c r="I20" s="23">
        <f t="shared" ca="1" si="6"/>
        <v>0</v>
      </c>
      <c r="J20" s="23">
        <f t="shared" ca="1" si="10"/>
        <v>0</v>
      </c>
      <c r="K20" s="23">
        <f t="shared" ca="1" si="7"/>
        <v>0</v>
      </c>
      <c r="L20" s="23">
        <f t="shared" ca="1" si="7"/>
        <v>1</v>
      </c>
      <c r="M20" s="23">
        <f t="shared" ca="1" si="7"/>
        <v>0</v>
      </c>
      <c r="O20" s="8">
        <f ca="1"/>
        <v>8.2821347134436714</v>
      </c>
      <c r="P20" s="22">
        <f t="shared" ca="1" si="11"/>
        <v>3952.6231000000002</v>
      </c>
    </row>
    <row r="21" spans="1:16" x14ac:dyDescent="0.25">
      <c r="A21" s="14" t="str">
        <f t="shared" si="8"/>
        <v>1-5</v>
      </c>
      <c r="B21" s="23">
        <f t="shared" si="12"/>
        <v>1</v>
      </c>
      <c r="C21" s="23">
        <f t="shared" si="13"/>
        <v>5</v>
      </c>
      <c r="E21" s="23">
        <v>1</v>
      </c>
      <c r="F21" s="23">
        <f t="shared" ca="1" si="9"/>
        <v>0</v>
      </c>
      <c r="G21" s="23">
        <f t="shared" ca="1" si="6"/>
        <v>0</v>
      </c>
      <c r="H21" s="23">
        <f t="shared" ca="1" si="6"/>
        <v>0</v>
      </c>
      <c r="I21" s="23">
        <f t="shared" ca="1" si="6"/>
        <v>0</v>
      </c>
      <c r="J21" s="23">
        <f t="shared" ca="1" si="10"/>
        <v>0</v>
      </c>
      <c r="K21" s="23">
        <f t="shared" ca="1" si="7"/>
        <v>0</v>
      </c>
      <c r="L21" s="23">
        <f t="shared" ca="1" si="7"/>
        <v>0</v>
      </c>
      <c r="M21" s="23">
        <f t="shared" ca="1" si="7"/>
        <v>1</v>
      </c>
      <c r="O21" s="8">
        <f ca="1"/>
        <v>6.345106220328951</v>
      </c>
      <c r="P21" s="22">
        <f t="shared" ca="1" si="11"/>
        <v>569.69790000000035</v>
      </c>
    </row>
    <row r="22" spans="1:16" x14ac:dyDescent="0.25">
      <c r="A22" s="14" t="str">
        <f t="shared" si="8"/>
        <v>2-1</v>
      </c>
      <c r="B22" s="23">
        <f t="shared" si="12"/>
        <v>2</v>
      </c>
      <c r="C22" s="23">
        <f t="shared" si="13"/>
        <v>1</v>
      </c>
      <c r="E22" s="23">
        <v>1</v>
      </c>
      <c r="F22" s="23">
        <f t="shared" ca="1" si="9"/>
        <v>1</v>
      </c>
      <c r="G22" s="23">
        <f t="shared" ca="1" si="6"/>
        <v>0</v>
      </c>
      <c r="H22" s="23">
        <f t="shared" ca="1" si="6"/>
        <v>0</v>
      </c>
      <c r="I22" s="23">
        <f t="shared" ca="1" si="6"/>
        <v>0</v>
      </c>
      <c r="J22" s="23">
        <f t="shared" ca="1" si="10"/>
        <v>0</v>
      </c>
      <c r="K22" s="23">
        <f t="shared" ca="1" si="7"/>
        <v>0</v>
      </c>
      <c r="L22" s="23">
        <f t="shared" ca="1" si="7"/>
        <v>0</v>
      </c>
      <c r="M22" s="23">
        <f t="shared" ca="1" si="7"/>
        <v>0</v>
      </c>
      <c r="O22" s="8">
        <f ca="1"/>
        <v>8.9572063821538972</v>
      </c>
      <c r="P22" s="22">
        <f t="shared" ca="1" si="11"/>
        <v>7763.6385000000028</v>
      </c>
    </row>
    <row r="23" spans="1:16" x14ac:dyDescent="0.25">
      <c r="A23" s="14" t="str">
        <f t="shared" si="8"/>
        <v>2-2</v>
      </c>
      <c r="B23" s="23">
        <f t="shared" si="12"/>
        <v>2</v>
      </c>
      <c r="C23" s="23">
        <f t="shared" si="13"/>
        <v>2</v>
      </c>
      <c r="E23" s="23">
        <v>1</v>
      </c>
      <c r="F23" s="23">
        <f t="shared" ca="1" si="9"/>
        <v>1</v>
      </c>
      <c r="G23" s="23">
        <f t="shared" ca="1" si="6"/>
        <v>0</v>
      </c>
      <c r="H23" s="23">
        <f t="shared" ca="1" si="6"/>
        <v>0</v>
      </c>
      <c r="I23" s="23">
        <f t="shared" ca="1" si="6"/>
        <v>0</v>
      </c>
      <c r="J23" s="23">
        <f t="shared" ca="1" si="10"/>
        <v>1</v>
      </c>
      <c r="K23" s="23">
        <f t="shared" ca="1" si="7"/>
        <v>0</v>
      </c>
      <c r="L23" s="23">
        <f t="shared" ca="1" si="7"/>
        <v>0</v>
      </c>
      <c r="M23" s="23">
        <f t="shared" ca="1" si="7"/>
        <v>0</v>
      </c>
      <c r="O23" s="8">
        <f ca="1"/>
        <v>9.5249837620476008</v>
      </c>
      <c r="P23" s="22">
        <f t="shared" ca="1" si="11"/>
        <v>13697.70749999999</v>
      </c>
    </row>
    <row r="24" spans="1:16" x14ac:dyDescent="0.25">
      <c r="A24" s="14" t="str">
        <f t="shared" si="8"/>
        <v>2-3</v>
      </c>
      <c r="B24" s="23">
        <f t="shared" si="12"/>
        <v>2</v>
      </c>
      <c r="C24" s="23">
        <f t="shared" si="13"/>
        <v>3</v>
      </c>
      <c r="E24" s="23">
        <v>1</v>
      </c>
      <c r="F24" s="23">
        <f t="shared" ca="1" si="9"/>
        <v>1</v>
      </c>
      <c r="G24" s="23">
        <f t="shared" ca="1" si="6"/>
        <v>0</v>
      </c>
      <c r="H24" s="23">
        <f t="shared" ca="1" si="6"/>
        <v>0</v>
      </c>
      <c r="I24" s="23">
        <f t="shared" ca="1" si="6"/>
        <v>0</v>
      </c>
      <c r="J24" s="23">
        <f t="shared" ca="1" si="10"/>
        <v>0</v>
      </c>
      <c r="K24" s="23">
        <f t="shared" ca="1" si="7"/>
        <v>1</v>
      </c>
      <c r="L24" s="23">
        <f t="shared" ca="1" si="7"/>
        <v>0</v>
      </c>
      <c r="M24" s="23">
        <f t="shared" ca="1" si="7"/>
        <v>0</v>
      </c>
      <c r="O24" s="8">
        <f ca="1"/>
        <v>8.9051206093206101</v>
      </c>
      <c r="P24" s="22">
        <f t="shared" ca="1" si="11"/>
        <v>7369.6139999999987</v>
      </c>
    </row>
    <row r="25" spans="1:16" x14ac:dyDescent="0.25">
      <c r="A25" s="14" t="str">
        <f t="shared" si="8"/>
        <v>2-4</v>
      </c>
      <c r="B25" s="23">
        <f t="shared" si="12"/>
        <v>2</v>
      </c>
      <c r="C25" s="23">
        <f t="shared" si="13"/>
        <v>4</v>
      </c>
      <c r="E25" s="23">
        <v>1</v>
      </c>
      <c r="F25" s="23">
        <f t="shared" ca="1" si="9"/>
        <v>1</v>
      </c>
      <c r="G25" s="23">
        <f t="shared" ca="1" si="6"/>
        <v>0</v>
      </c>
      <c r="H25" s="23">
        <f t="shared" ca="1" si="6"/>
        <v>0</v>
      </c>
      <c r="I25" s="23">
        <f t="shared" ca="1" si="6"/>
        <v>0</v>
      </c>
      <c r="J25" s="23">
        <f t="shared" ca="1" si="10"/>
        <v>0</v>
      </c>
      <c r="K25" s="23">
        <f t="shared" ca="1" si="7"/>
        <v>0</v>
      </c>
      <c r="L25" s="23">
        <f t="shared" ca="1" si="7"/>
        <v>1</v>
      </c>
      <c r="M25" s="23">
        <f t="shared" ca="1" si="7"/>
        <v>0</v>
      </c>
      <c r="O25" s="8">
        <f ca="1"/>
        <v>8.2005324644046986</v>
      </c>
      <c r="P25" s="22">
        <f t="shared" ca="1" si="11"/>
        <v>3642.8895000000039</v>
      </c>
    </row>
    <row r="26" spans="1:16" x14ac:dyDescent="0.25">
      <c r="A26" s="14" t="str">
        <f t="shared" si="8"/>
        <v>3-1</v>
      </c>
      <c r="B26" s="23">
        <f t="shared" si="12"/>
        <v>3</v>
      </c>
      <c r="C26" s="23">
        <f t="shared" si="13"/>
        <v>1</v>
      </c>
      <c r="E26" s="23">
        <v>1</v>
      </c>
      <c r="F26" s="23">
        <f t="shared" ca="1" si="9"/>
        <v>0</v>
      </c>
      <c r="G26" s="23">
        <f t="shared" ca="1" si="6"/>
        <v>1</v>
      </c>
      <c r="H26" s="23">
        <f t="shared" ca="1" si="6"/>
        <v>0</v>
      </c>
      <c r="I26" s="23">
        <f t="shared" ca="1" si="6"/>
        <v>0</v>
      </c>
      <c r="J26" s="23">
        <f t="shared" ca="1" si="10"/>
        <v>0</v>
      </c>
      <c r="K26" s="23">
        <f t="shared" ca="1" si="7"/>
        <v>0</v>
      </c>
      <c r="L26" s="23">
        <f t="shared" ca="1" si="7"/>
        <v>0</v>
      </c>
      <c r="M26" s="23">
        <f t="shared" ca="1" si="7"/>
        <v>0</v>
      </c>
      <c r="O26" s="8">
        <f ca="1"/>
        <v>9.1281917851615155</v>
      </c>
      <c r="P26" s="22">
        <f t="shared" ca="1" si="11"/>
        <v>9211.3508000000038</v>
      </c>
    </row>
    <row r="27" spans="1:16" x14ac:dyDescent="0.25">
      <c r="A27" s="14" t="str">
        <f t="shared" si="8"/>
        <v>3-2</v>
      </c>
      <c r="B27" s="23">
        <f t="shared" si="12"/>
        <v>3</v>
      </c>
      <c r="C27" s="23">
        <f t="shared" si="13"/>
        <v>2</v>
      </c>
      <c r="E27" s="23">
        <v>1</v>
      </c>
      <c r="F27" s="23">
        <f t="shared" ca="1" si="9"/>
        <v>0</v>
      </c>
      <c r="G27" s="23">
        <f t="shared" ca="1" si="6"/>
        <v>1</v>
      </c>
      <c r="H27" s="23">
        <f t="shared" ca="1" si="6"/>
        <v>0</v>
      </c>
      <c r="I27" s="23">
        <f t="shared" ca="1" si="6"/>
        <v>0</v>
      </c>
      <c r="J27" s="23">
        <f t="shared" ca="1" si="10"/>
        <v>1</v>
      </c>
      <c r="K27" s="23">
        <f t="shared" ca="1" si="7"/>
        <v>0</v>
      </c>
      <c r="L27" s="23">
        <f t="shared" ca="1" si="7"/>
        <v>0</v>
      </c>
      <c r="M27" s="23">
        <f t="shared" ca="1" si="7"/>
        <v>0</v>
      </c>
      <c r="O27" s="8">
        <f ca="1"/>
        <v>9.6959691650552209</v>
      </c>
      <c r="P27" s="22">
        <f t="shared" ca="1" si="11"/>
        <v>16251.966000000017</v>
      </c>
    </row>
    <row r="28" spans="1:16" x14ac:dyDescent="0.25">
      <c r="A28" s="14" t="str">
        <f t="shared" si="8"/>
        <v>3-3</v>
      </c>
      <c r="B28" s="23">
        <f t="shared" si="12"/>
        <v>3</v>
      </c>
      <c r="C28" s="23">
        <f t="shared" si="13"/>
        <v>3</v>
      </c>
      <c r="E28" s="23">
        <v>1</v>
      </c>
      <c r="F28" s="23">
        <f t="shared" ca="1" si="9"/>
        <v>0</v>
      </c>
      <c r="G28" s="23">
        <f t="shared" ca="1" si="6"/>
        <v>1</v>
      </c>
      <c r="H28" s="23">
        <f t="shared" ca="1" si="6"/>
        <v>0</v>
      </c>
      <c r="I28" s="23">
        <f t="shared" ca="1" si="6"/>
        <v>0</v>
      </c>
      <c r="J28" s="23">
        <f t="shared" ca="1" si="10"/>
        <v>0</v>
      </c>
      <c r="K28" s="23">
        <f t="shared" ca="1" si="7"/>
        <v>1</v>
      </c>
      <c r="L28" s="23">
        <f t="shared" ca="1" si="7"/>
        <v>0</v>
      </c>
      <c r="M28" s="23">
        <f t="shared" ca="1" si="7"/>
        <v>0</v>
      </c>
      <c r="O28" s="8">
        <f ca="1"/>
        <v>9.0761060123282284</v>
      </c>
      <c r="P28" s="22">
        <f t="shared" ca="1" si="11"/>
        <v>8743.8511999999992</v>
      </c>
    </row>
    <row r="29" spans="1:16" x14ac:dyDescent="0.25">
      <c r="A29" s="14" t="str">
        <f t="shared" si="8"/>
        <v>4-1</v>
      </c>
      <c r="B29" s="23">
        <f t="shared" si="12"/>
        <v>4</v>
      </c>
      <c r="C29" s="23">
        <f t="shared" si="13"/>
        <v>1</v>
      </c>
      <c r="E29" s="23">
        <v>1</v>
      </c>
      <c r="F29" s="23">
        <f t="shared" ca="1" si="9"/>
        <v>0</v>
      </c>
      <c r="G29" s="23">
        <f t="shared" ca="1" si="6"/>
        <v>0</v>
      </c>
      <c r="H29" s="23">
        <f t="shared" ca="1" si="6"/>
        <v>1</v>
      </c>
      <c r="I29" s="23">
        <f t="shared" ca="1" si="6"/>
        <v>0</v>
      </c>
      <c r="J29" s="23">
        <f t="shared" ca="1" si="10"/>
        <v>0</v>
      </c>
      <c r="K29" s="23">
        <f t="shared" ca="1" si="7"/>
        <v>0</v>
      </c>
      <c r="L29" s="23">
        <f t="shared" ca="1" si="7"/>
        <v>0</v>
      </c>
      <c r="M29" s="23">
        <f t="shared" ca="1" si="7"/>
        <v>0</v>
      </c>
      <c r="O29" s="8">
        <f ca="1"/>
        <v>9.2191989684903675</v>
      </c>
      <c r="P29" s="22">
        <f t="shared" ca="1" si="11"/>
        <v>10088.979500000005</v>
      </c>
    </row>
    <row r="30" spans="1:16" x14ac:dyDescent="0.25">
      <c r="A30" s="14" t="str">
        <f t="shared" si="8"/>
        <v>4-2</v>
      </c>
      <c r="B30" s="23">
        <f t="shared" si="12"/>
        <v>4</v>
      </c>
      <c r="C30" s="23">
        <f t="shared" si="13"/>
        <v>2</v>
      </c>
      <c r="E30" s="23">
        <v>1</v>
      </c>
      <c r="F30" s="23">
        <f t="shared" ca="1" si="9"/>
        <v>0</v>
      </c>
      <c r="G30" s="23">
        <f t="shared" ca="1" si="6"/>
        <v>0</v>
      </c>
      <c r="H30" s="23">
        <f t="shared" ca="1" si="6"/>
        <v>1</v>
      </c>
      <c r="I30" s="23">
        <f t="shared" ca="1" si="6"/>
        <v>0</v>
      </c>
      <c r="J30" s="23">
        <f t="shared" ca="1" si="10"/>
        <v>1</v>
      </c>
      <c r="K30" s="23">
        <f t="shared" ca="1" si="7"/>
        <v>0</v>
      </c>
      <c r="L30" s="23">
        <f t="shared" ca="1" si="7"/>
        <v>0</v>
      </c>
      <c r="M30" s="23">
        <f t="shared" ca="1" si="7"/>
        <v>0</v>
      </c>
      <c r="O30" s="8">
        <f ca="1"/>
        <v>9.7869763483840728</v>
      </c>
      <c r="P30" s="22">
        <f t="shared" ca="1" si="11"/>
        <v>17800.402500000022</v>
      </c>
    </row>
    <row r="31" spans="1:16" x14ac:dyDescent="0.25">
      <c r="A31" s="14" t="str">
        <f t="shared" si="8"/>
        <v>5-1</v>
      </c>
      <c r="B31" s="23">
        <f t="shared" si="12"/>
        <v>5</v>
      </c>
      <c r="C31" s="23">
        <f t="shared" si="13"/>
        <v>1</v>
      </c>
      <c r="E31" s="23">
        <v>1</v>
      </c>
      <c r="F31" s="23">
        <f t="shared" ca="1" si="9"/>
        <v>0</v>
      </c>
      <c r="G31" s="23">
        <f t="shared" ca="1" si="6"/>
        <v>0</v>
      </c>
      <c r="H31" s="23">
        <f t="shared" ca="1" si="6"/>
        <v>0</v>
      </c>
      <c r="I31" s="23">
        <f t="shared" ca="1" si="6"/>
        <v>1</v>
      </c>
      <c r="J31" s="23">
        <f t="shared" ca="1" si="10"/>
        <v>0</v>
      </c>
      <c r="K31" s="23">
        <f t="shared" ca="1" si="7"/>
        <v>0</v>
      </c>
      <c r="L31" s="23">
        <f t="shared" ca="1" si="7"/>
        <v>0</v>
      </c>
      <c r="M31" s="23">
        <f t="shared" ca="1" si="7"/>
        <v>0</v>
      </c>
      <c r="O31" s="8">
        <f ca="1"/>
        <v>9.2727573536144714</v>
      </c>
      <c r="P31" s="22">
        <f t="shared" ca="1" si="11"/>
        <v>10644.060900000015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workbookViewId="0">
      <selection activeCell="L28" sqref="L28"/>
    </sheetView>
  </sheetViews>
  <sheetFormatPr defaultRowHeight="15" x14ac:dyDescent="0.25"/>
  <cols>
    <col min="1" max="5" width="9.85546875" customWidth="1"/>
    <col min="6" max="6" width="2.85546875" customWidth="1"/>
    <col min="7" max="13" width="9.7109375" customWidth="1"/>
    <col min="14" max="14" width="2.85546875" customWidth="1"/>
    <col min="15" max="21" width="9.7109375" customWidth="1"/>
  </cols>
  <sheetData>
    <row r="1" spans="1:21" ht="18.75" x14ac:dyDescent="0.3">
      <c r="A1" s="13" t="s">
        <v>46</v>
      </c>
    </row>
    <row r="3" spans="1:21" x14ac:dyDescent="0.25">
      <c r="A3" s="11" t="s">
        <v>16</v>
      </c>
      <c r="G3" s="11" t="s">
        <v>3</v>
      </c>
    </row>
    <row r="4" spans="1:2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G4" s="2" t="s">
        <v>0</v>
      </c>
      <c r="H4" s="2" t="s">
        <v>13</v>
      </c>
      <c r="I4" s="2">
        <v>1</v>
      </c>
      <c r="J4" s="2">
        <v>2</v>
      </c>
      <c r="K4" s="2">
        <v>3</v>
      </c>
      <c r="L4" s="2">
        <v>4</v>
      </c>
      <c r="M4" s="2">
        <v>5</v>
      </c>
    </row>
    <row r="5" spans="1:21" x14ac:dyDescent="0.25">
      <c r="A5" s="10">
        <v>11.23</v>
      </c>
      <c r="B5" s="10">
        <v>10.35</v>
      </c>
      <c r="C5" s="10">
        <v>12.28</v>
      </c>
      <c r="D5" s="10">
        <v>13.45</v>
      </c>
      <c r="E5" s="10">
        <v>14.19</v>
      </c>
      <c r="G5" s="2" t="s">
        <v>14</v>
      </c>
      <c r="H5" s="3"/>
      <c r="I5" s="3"/>
      <c r="J5" s="3"/>
      <c r="K5" s="3"/>
      <c r="L5" s="3"/>
      <c r="M5" s="3"/>
    </row>
    <row r="6" spans="1:21" x14ac:dyDescent="0.25">
      <c r="G6" s="2">
        <v>1</v>
      </c>
      <c r="H6" s="3"/>
      <c r="I6" s="8">
        <f>INDEX($A$5:$E$5,$G6)*INDEX($A$9:$E$9,I$4)*INDEX($A$13:$E$13,$G6+I$4-1)</f>
        <v>17100.182658999998</v>
      </c>
      <c r="J6" s="8">
        <f t="shared" ref="J6:L9" si="0">INDEX($A$5:$E$5,$G6)*INDEX($A$9:$E$9,J$4)*INDEX($A$13:$E$13,$G6+J$4-1)</f>
        <v>28089.829215000002</v>
      </c>
      <c r="K6" s="8">
        <f t="shared" si="0"/>
        <v>13673.517732</v>
      </c>
      <c r="L6" s="8">
        <f t="shared" si="0"/>
        <v>6245.1444980000006</v>
      </c>
      <c r="M6" s="8">
        <f>INDEX($A$5:$E$5,$G6)*INDEX($A$9:$E$9,M$4)*INDEX($A$13:$E$13,$G6+M$4-1)</f>
        <v>1053.9411150000001</v>
      </c>
    </row>
    <row r="7" spans="1:21" x14ac:dyDescent="0.25">
      <c r="A7" s="11" t="s">
        <v>21</v>
      </c>
      <c r="G7" s="2">
        <v>2</v>
      </c>
      <c r="H7" s="3"/>
      <c r="I7" s="8">
        <f t="shared" ref="I7:I10" si="1">INDEX($A$5:$E$5,$G7)*INDEX($A$9:$E$9,I$4)*INDEX($A$13:$E$13,$G7+I$4-1)</f>
        <v>14673.276764999999</v>
      </c>
      <c r="J7" s="8">
        <f t="shared" si="0"/>
        <v>23423.079825000001</v>
      </c>
      <c r="K7" s="8">
        <f t="shared" si="0"/>
        <v>11643.99012</v>
      </c>
      <c r="L7" s="8">
        <f t="shared" si="0"/>
        <v>6739.3455750000012</v>
      </c>
      <c r="M7" s="9"/>
    </row>
    <row r="8" spans="1:2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G8" s="2">
        <v>3</v>
      </c>
      <c r="H8" s="3"/>
      <c r="I8" s="8">
        <f t="shared" si="1"/>
        <v>15751.409868000001</v>
      </c>
      <c r="J8" s="8">
        <f t="shared" si="0"/>
        <v>25678.10628</v>
      </c>
      <c r="K8" s="8">
        <f t="shared" si="0"/>
        <v>16176.12472</v>
      </c>
      <c r="L8" s="9"/>
      <c r="M8" s="9"/>
    </row>
    <row r="9" spans="1:21" x14ac:dyDescent="0.25">
      <c r="A9" s="10">
        <v>750.11</v>
      </c>
      <c r="B9" s="10">
        <v>1323.45</v>
      </c>
      <c r="C9" s="10">
        <v>712.04</v>
      </c>
      <c r="D9" s="10">
        <v>351.97</v>
      </c>
      <c r="E9" s="10">
        <v>50.73</v>
      </c>
      <c r="G9" s="2">
        <v>4</v>
      </c>
      <c r="H9" s="3"/>
      <c r="I9" s="8">
        <f t="shared" si="1"/>
        <v>15940.58761</v>
      </c>
      <c r="J9" s="8">
        <f t="shared" si="0"/>
        <v>32930.744624999999</v>
      </c>
      <c r="K9" s="9"/>
      <c r="L9" s="9"/>
      <c r="M9" s="9"/>
    </row>
    <row r="10" spans="1:21" x14ac:dyDescent="0.25">
      <c r="G10" s="2">
        <v>5</v>
      </c>
      <c r="H10" s="3"/>
      <c r="I10" s="8">
        <f t="shared" si="1"/>
        <v>19691.512665000002</v>
      </c>
      <c r="J10" s="9"/>
      <c r="K10" s="9"/>
      <c r="L10" s="9"/>
      <c r="M10" s="9"/>
    </row>
    <row r="11" spans="1:21" x14ac:dyDescent="0.25">
      <c r="A11" s="11" t="s">
        <v>47</v>
      </c>
    </row>
    <row r="12" spans="1:2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G12" s="11" t="s">
        <v>4</v>
      </c>
      <c r="O12" s="11" t="s">
        <v>5</v>
      </c>
    </row>
    <row r="13" spans="1:21" x14ac:dyDescent="0.25">
      <c r="A13" s="10">
        <v>2.0299999999999998</v>
      </c>
      <c r="B13" s="10">
        <v>1.89</v>
      </c>
      <c r="C13" s="10">
        <v>1.71</v>
      </c>
      <c r="D13" s="10">
        <v>1.58</v>
      </c>
      <c r="E13" s="10">
        <v>1.85</v>
      </c>
      <c r="G13" s="2" t="s">
        <v>0</v>
      </c>
      <c r="H13" s="2" t="s">
        <v>13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O13" s="2" t="s">
        <v>0</v>
      </c>
      <c r="P13" s="2" t="s">
        <v>13</v>
      </c>
      <c r="Q13" s="2">
        <v>1</v>
      </c>
      <c r="R13" s="2">
        <v>2</v>
      </c>
      <c r="S13" s="2">
        <v>3</v>
      </c>
      <c r="T13" s="2">
        <v>4</v>
      </c>
      <c r="U13" s="2">
        <v>5</v>
      </c>
    </row>
    <row r="14" spans="1:21" x14ac:dyDescent="0.25">
      <c r="G14" s="2" t="s">
        <v>14</v>
      </c>
      <c r="H14" s="3"/>
      <c r="I14" s="3"/>
      <c r="J14" s="3"/>
      <c r="K14" s="3"/>
      <c r="L14" s="3"/>
      <c r="M14" s="3"/>
      <c r="O14" s="2" t="s">
        <v>14</v>
      </c>
      <c r="P14" s="3"/>
      <c r="Q14" s="3"/>
      <c r="R14" s="3"/>
      <c r="S14" s="3"/>
      <c r="T14" s="3"/>
      <c r="U14" s="3"/>
    </row>
    <row r="15" spans="1:21" x14ac:dyDescent="0.25">
      <c r="G15" s="2">
        <v>1</v>
      </c>
      <c r="H15" s="3"/>
      <c r="I15" s="8">
        <f>INDEX($A$25:$E$25,$G15)*INDEX($A$29:$E$29,I$13)*INDEX($A$33:$E$33,$G15+I$13-1)</f>
        <v>17100.182659000002</v>
      </c>
      <c r="J15" s="8">
        <f t="shared" ref="J15:L18" si="2">INDEX($A$25:$E$25,$G15)*INDEX($A$29:$E$29,J$13)*INDEX($A$33:$E$33,$G15+J$13-1)</f>
        <v>28089.829215000002</v>
      </c>
      <c r="K15" s="8">
        <f t="shared" si="2"/>
        <v>13673.517732</v>
      </c>
      <c r="L15" s="8">
        <f t="shared" si="2"/>
        <v>6245.1444980000015</v>
      </c>
      <c r="M15" s="8">
        <f>INDEX($A$25:$E$25,$G15)*INDEX($A$29:$E$29,M$13)*INDEX($A$33:$E$33,$G15+M$13-1)</f>
        <v>1053.9411150000001</v>
      </c>
      <c r="O15" s="2">
        <v>1</v>
      </c>
      <c r="P15" s="3"/>
      <c r="Q15" s="5">
        <f>I6-I15</f>
        <v>0</v>
      </c>
      <c r="R15" s="5">
        <f>J6-J15</f>
        <v>0</v>
      </c>
      <c r="S15" s="5">
        <f>K6-K15</f>
        <v>0</v>
      </c>
      <c r="T15" s="5">
        <f>L6-L15</f>
        <v>0</v>
      </c>
      <c r="U15" s="5">
        <f>M6-M15</f>
        <v>0</v>
      </c>
    </row>
    <row r="16" spans="1:21" x14ac:dyDescent="0.25">
      <c r="A16" s="11" t="s">
        <v>48</v>
      </c>
      <c r="G16" s="2">
        <v>2</v>
      </c>
      <c r="H16" s="3"/>
      <c r="I16" s="8">
        <f t="shared" ref="I16:I19" si="3">INDEX($A$25:$E$25,$G16)*INDEX($A$29:$E$29,I$13)*INDEX($A$33:$E$33,$G16+I$13-1)</f>
        <v>14673.276765000002</v>
      </c>
      <c r="J16" s="8">
        <f t="shared" si="2"/>
        <v>23423.079825000004</v>
      </c>
      <c r="K16" s="8">
        <f t="shared" si="2"/>
        <v>11643.990120000004</v>
      </c>
      <c r="L16" s="8">
        <f t="shared" si="2"/>
        <v>6739.3455750000021</v>
      </c>
      <c r="M16" s="9"/>
      <c r="O16" s="2">
        <v>2</v>
      </c>
      <c r="P16" s="3"/>
      <c r="Q16" s="5">
        <f>I7-I16</f>
        <v>0</v>
      </c>
      <c r="R16" s="5">
        <f>J7-J16</f>
        <v>0</v>
      </c>
      <c r="S16" s="5">
        <f>K7-K16</f>
        <v>0</v>
      </c>
      <c r="T16" s="5">
        <f>L7-L16</f>
        <v>0</v>
      </c>
      <c r="U16" s="1"/>
    </row>
    <row r="17" spans="1:21" x14ac:dyDescent="0.25">
      <c r="A17" s="14" t="s">
        <v>49</v>
      </c>
      <c r="B17" s="14" t="s">
        <v>50</v>
      </c>
      <c r="C17" s="14" t="s">
        <v>51</v>
      </c>
      <c r="G17" s="2">
        <v>3</v>
      </c>
      <c r="H17" s="3"/>
      <c r="I17" s="8">
        <f t="shared" si="3"/>
        <v>15751.409867999999</v>
      </c>
      <c r="J17" s="8">
        <f t="shared" si="2"/>
        <v>25678.106280000007</v>
      </c>
      <c r="K17" s="8">
        <f t="shared" si="2"/>
        <v>16176.124720000003</v>
      </c>
      <c r="L17" s="9"/>
      <c r="M17" s="9"/>
      <c r="O17" s="2">
        <v>3</v>
      </c>
      <c r="P17" s="3"/>
      <c r="Q17" s="5">
        <f>I8-I17</f>
        <v>0</v>
      </c>
      <c r="R17" s="5">
        <f>J8-J17</f>
        <v>0</v>
      </c>
      <c r="S17" s="5">
        <f>K8-K17</f>
        <v>0</v>
      </c>
      <c r="T17" s="1"/>
      <c r="U17" s="1"/>
    </row>
    <row r="18" spans="1:21" x14ac:dyDescent="0.25">
      <c r="A18" s="4">
        <v>10</v>
      </c>
      <c r="B18" s="4">
        <v>5</v>
      </c>
      <c r="C18" s="4">
        <v>1.7</v>
      </c>
      <c r="G18" s="2">
        <v>4</v>
      </c>
      <c r="H18" s="3"/>
      <c r="I18" s="8">
        <f t="shared" si="3"/>
        <v>15940.587610000006</v>
      </c>
      <c r="J18" s="8">
        <f t="shared" si="2"/>
        <v>32930.744625000007</v>
      </c>
      <c r="K18" s="9"/>
      <c r="L18" s="9"/>
      <c r="M18" s="9"/>
      <c r="O18" s="2">
        <v>4</v>
      </c>
      <c r="P18" s="3"/>
      <c r="Q18" s="5">
        <f>I9-I18</f>
        <v>0</v>
      </c>
      <c r="R18" s="5">
        <f>J9-J18</f>
        <v>0</v>
      </c>
      <c r="S18" s="1"/>
      <c r="T18" s="1"/>
      <c r="U18" s="1"/>
    </row>
    <row r="19" spans="1:21" x14ac:dyDescent="0.25">
      <c r="G19" s="2">
        <v>5</v>
      </c>
      <c r="H19" s="3"/>
      <c r="I19" s="8">
        <f t="shared" si="3"/>
        <v>19691.512665000006</v>
      </c>
      <c r="J19" s="9"/>
      <c r="K19" s="9"/>
      <c r="L19" s="9"/>
      <c r="M19" s="9"/>
      <c r="O19" s="2">
        <v>5</v>
      </c>
      <c r="P19" s="3"/>
      <c r="Q19" s="5">
        <f>I10-I19</f>
        <v>0</v>
      </c>
      <c r="R19" s="1"/>
      <c r="S19" s="1"/>
      <c r="T19" s="1"/>
      <c r="U19" s="1"/>
    </row>
    <row r="20" spans="1:21" x14ac:dyDescent="0.25">
      <c r="A20" s="11" t="s">
        <v>2</v>
      </c>
    </row>
    <row r="21" spans="1:21" x14ac:dyDescent="0.25">
      <c r="A21" s="7" t="s">
        <v>53</v>
      </c>
      <c r="B21" s="7" t="s">
        <v>54</v>
      </c>
      <c r="C21" s="15" t="s">
        <v>52</v>
      </c>
      <c r="G21" s="11" t="s">
        <v>75</v>
      </c>
      <c r="O21" s="11" t="s">
        <v>76</v>
      </c>
    </row>
    <row r="22" spans="1:21" x14ac:dyDescent="0.25">
      <c r="G22" s="2" t="s">
        <v>0</v>
      </c>
      <c r="H22" s="2" t="s">
        <v>13</v>
      </c>
      <c r="I22" s="2">
        <v>1</v>
      </c>
      <c r="J22" s="2">
        <v>2</v>
      </c>
      <c r="K22" s="2">
        <v>3</v>
      </c>
      <c r="L22" s="2">
        <v>4</v>
      </c>
      <c r="M22" s="2">
        <v>5</v>
      </c>
      <c r="O22" s="2" t="s">
        <v>0</v>
      </c>
      <c r="P22" s="2" t="s">
        <v>13</v>
      </c>
      <c r="Q22" s="2">
        <v>1</v>
      </c>
      <c r="R22" s="2">
        <v>2</v>
      </c>
      <c r="S22" s="2">
        <v>3</v>
      </c>
      <c r="T22" s="2">
        <v>4</v>
      </c>
      <c r="U22" s="2">
        <v>5</v>
      </c>
    </row>
    <row r="23" spans="1:21" x14ac:dyDescent="0.25">
      <c r="A23" s="11" t="s">
        <v>18</v>
      </c>
      <c r="G23" s="2" t="s">
        <v>14</v>
      </c>
      <c r="H23" s="3"/>
      <c r="I23" s="3"/>
      <c r="J23" s="3"/>
      <c r="K23" s="3"/>
      <c r="L23" s="3"/>
      <c r="M23" s="3"/>
      <c r="O23" s="2" t="s">
        <v>14</v>
      </c>
      <c r="P23" s="3"/>
      <c r="Q23" s="3"/>
      <c r="R23" s="3"/>
      <c r="S23" s="3"/>
      <c r="T23" s="3"/>
      <c r="U23" s="3"/>
    </row>
    <row r="24" spans="1:21" x14ac:dyDescent="0.25">
      <c r="A24" s="2">
        <v>1</v>
      </c>
      <c r="B24" s="2">
        <v>2</v>
      </c>
      <c r="C24" s="2">
        <v>3</v>
      </c>
      <c r="D24" s="2">
        <v>4</v>
      </c>
      <c r="E24" s="2">
        <v>5</v>
      </c>
      <c r="G24" s="2">
        <v>1</v>
      </c>
      <c r="H24" s="3"/>
      <c r="I24" s="8">
        <f>INDEX($A$56:$E$56,$G24)*INDEX($A$60:$E$60,I$22)*INDEX($A$64:$E$64,$G24+I$22-1)</f>
        <v>17100.182659000002</v>
      </c>
      <c r="J24" s="8">
        <f>INDEX($A$56:$E$56,$G24)*INDEX($A$60:$E$60,J$22)*INDEX($A$64:$E$64,$G24+J$22-1)</f>
        <v>28089.829215000002</v>
      </c>
      <c r="K24" s="8">
        <f>INDEX($A$56:$E$56,$G24)*INDEX($A$60:$E$60,K$22)*INDEX($A$64:$E$64,$G24+K$22-1)</f>
        <v>13673.517732</v>
      </c>
      <c r="L24" s="8">
        <f>INDEX($A$56:$E$56,$G24)*INDEX($A$60:$E$60,L$22)*INDEX($A$64:$E$64,$G24+L$22-1)</f>
        <v>6245.1444980000024</v>
      </c>
      <c r="M24" s="8">
        <f>INDEX($A$56:$E$56,$G24)*INDEX($A$60:$E$60,M$22)*INDEX($A$64:$E$64,$G24+M$22-1)</f>
        <v>1053.9411150000003</v>
      </c>
      <c r="O24" s="2">
        <v>1</v>
      </c>
      <c r="P24" s="3"/>
      <c r="Q24" s="5">
        <f>I6-I24</f>
        <v>0</v>
      </c>
      <c r="R24" s="5">
        <f>J6-J24</f>
        <v>0</v>
      </c>
      <c r="S24" s="5">
        <f>K6-K24</f>
        <v>0</v>
      </c>
      <c r="T24" s="5">
        <f>L6-L24</f>
        <v>0</v>
      </c>
      <c r="U24" s="5">
        <f>M6-M24</f>
        <v>0</v>
      </c>
    </row>
    <row r="25" spans="1:21" x14ac:dyDescent="0.25">
      <c r="A25" s="8">
        <f>$A$18*A5/$C$18^A24</f>
        <v>66.058823529411768</v>
      </c>
      <c r="B25" s="8">
        <f t="shared" ref="B25:E25" si="4">$A$18*B5/$C$18^B24</f>
        <v>35.813148788927343</v>
      </c>
      <c r="C25" s="8">
        <f t="shared" si="4"/>
        <v>24.99491145939345</v>
      </c>
      <c r="D25" s="8">
        <f t="shared" si="4"/>
        <v>16.103734390153377</v>
      </c>
      <c r="E25" s="8">
        <f t="shared" si="4"/>
        <v>9.9939641808999102</v>
      </c>
      <c r="G25" s="2">
        <v>2</v>
      </c>
      <c r="H25" s="3"/>
      <c r="I25" s="8">
        <f>INDEX($A$56:$E$56,$G25)*INDEX($A$60:$E$60,I$22)*INDEX($A$64:$E$64,$G25+I$22-1)</f>
        <v>14673.276765000001</v>
      </c>
      <c r="J25" s="8">
        <f>INDEX($A$56:$E$56,$G25)*INDEX($A$60:$E$60,J$22)*INDEX($A$64:$E$64,$G25+J$22-1)</f>
        <v>23423.079825000001</v>
      </c>
      <c r="K25" s="8">
        <f>INDEX($A$56:$E$56,$G25)*INDEX($A$60:$E$60,K$22)*INDEX($A$64:$E$64,$G25+K$22-1)</f>
        <v>11643.99012</v>
      </c>
      <c r="L25" s="8">
        <f>INDEX($A$56:$E$56,$G25)*INDEX($A$60:$E$60,L$22)*INDEX($A$64:$E$64,$G25+L$22-1)</f>
        <v>6739.345575000003</v>
      </c>
      <c r="M25" s="9"/>
      <c r="O25" s="2">
        <v>2</v>
      </c>
      <c r="P25" s="3"/>
      <c r="Q25" s="5">
        <f>I7-I25</f>
        <v>0</v>
      </c>
      <c r="R25" s="5">
        <f>J7-J25</f>
        <v>0</v>
      </c>
      <c r="S25" s="5">
        <f>K7-K25</f>
        <v>0</v>
      </c>
      <c r="T25" s="5">
        <f>L7-L25</f>
        <v>0</v>
      </c>
      <c r="U25" s="1"/>
    </row>
    <row r="26" spans="1:21" x14ac:dyDescent="0.25">
      <c r="G26" s="2">
        <v>3</v>
      </c>
      <c r="H26" s="3"/>
      <c r="I26" s="8">
        <f>INDEX($A$56:$E$56,$G26)*INDEX($A$60:$E$60,I$22)*INDEX($A$64:$E$64,$G26+I$22-1)</f>
        <v>15751.409867999999</v>
      </c>
      <c r="J26" s="8">
        <f>INDEX($A$56:$E$56,$G26)*INDEX($A$60:$E$60,J$22)*INDEX($A$64:$E$64,$G26+J$22-1)</f>
        <v>25678.10628</v>
      </c>
      <c r="K26" s="8">
        <f>INDEX($A$56:$E$56,$G26)*INDEX($A$60:$E$60,K$22)*INDEX($A$64:$E$64,$G26+K$22-1)</f>
        <v>16176.124720000002</v>
      </c>
      <c r="L26" s="9"/>
      <c r="M26" s="9"/>
      <c r="O26" s="2">
        <v>3</v>
      </c>
      <c r="P26" s="3"/>
      <c r="Q26" s="5">
        <f>I8-I26</f>
        <v>0</v>
      </c>
      <c r="R26" s="5">
        <f>J8-J26</f>
        <v>0</v>
      </c>
      <c r="S26" s="5">
        <f>K8-K26</f>
        <v>0</v>
      </c>
      <c r="T26" s="1"/>
      <c r="U26" s="1"/>
    </row>
    <row r="27" spans="1:21" x14ac:dyDescent="0.25">
      <c r="A27" s="11" t="s">
        <v>23</v>
      </c>
      <c r="G27" s="2">
        <v>4</v>
      </c>
      <c r="H27" s="3"/>
      <c r="I27" s="8">
        <f>INDEX($A$56:$E$56,$G27)*INDEX($A$60:$E$60,I$22)*INDEX($A$64:$E$64,$G27+I$22-1)</f>
        <v>15940.587610000002</v>
      </c>
      <c r="J27" s="8">
        <f>INDEX($A$56:$E$56,$G27)*INDEX($A$60:$E$60,J$22)*INDEX($A$64:$E$64,$G27+J$22-1)</f>
        <v>32930.744625000007</v>
      </c>
      <c r="K27" s="9"/>
      <c r="L27" s="9"/>
      <c r="M27" s="9"/>
      <c r="O27" s="2">
        <v>4</v>
      </c>
      <c r="P27" s="3"/>
      <c r="Q27" s="5">
        <f>I9-I27</f>
        <v>0</v>
      </c>
      <c r="R27" s="5">
        <f>J9-J27</f>
        <v>0</v>
      </c>
      <c r="S27" s="1"/>
      <c r="T27" s="1"/>
      <c r="U27" s="1"/>
    </row>
    <row r="28" spans="1:21" x14ac:dyDescent="0.25">
      <c r="A28" s="2">
        <v>1</v>
      </c>
      <c r="B28" s="2">
        <v>2</v>
      </c>
      <c r="C28" s="2">
        <v>3</v>
      </c>
      <c r="D28" s="2">
        <v>4</v>
      </c>
      <c r="E28" s="2">
        <v>5</v>
      </c>
      <c r="G28" s="2">
        <v>5</v>
      </c>
      <c r="H28" s="3"/>
      <c r="I28" s="8">
        <f>INDEX($A$56:$E$56,$G28)*INDEX($A$60:$E$60,I$22)*INDEX($A$64:$E$64,$G28+I$22-1)</f>
        <v>19691.512665000006</v>
      </c>
      <c r="J28" s="9"/>
      <c r="K28" s="9"/>
      <c r="L28" s="9"/>
      <c r="M28" s="9"/>
      <c r="O28" s="2">
        <v>5</v>
      </c>
      <c r="P28" s="3"/>
      <c r="Q28" s="5">
        <f>I10-I28</f>
        <v>0</v>
      </c>
      <c r="R28" s="1"/>
      <c r="S28" s="1"/>
      <c r="T28" s="1"/>
      <c r="U28" s="1"/>
    </row>
    <row r="29" spans="1:21" x14ac:dyDescent="0.25">
      <c r="A29" s="8">
        <f>$B$18*A9/$C$18^A28</f>
        <v>2206.2058823529414</v>
      </c>
      <c r="B29" s="8">
        <f t="shared" ref="B29:E29" si="5">$B$18*B9/$C$18^B28</f>
        <v>2289.7058823529414</v>
      </c>
      <c r="C29" s="8">
        <f t="shared" si="5"/>
        <v>724.64889069814785</v>
      </c>
      <c r="D29" s="8">
        <f t="shared" si="5"/>
        <v>210.70748673986188</v>
      </c>
      <c r="E29" s="8">
        <f t="shared" si="5"/>
        <v>17.864475084462732</v>
      </c>
    </row>
    <row r="31" spans="1:21" x14ac:dyDescent="0.25">
      <c r="A31" s="11" t="s">
        <v>55</v>
      </c>
    </row>
    <row r="32" spans="1:21" x14ac:dyDescent="0.25">
      <c r="A32" s="2">
        <v>1</v>
      </c>
      <c r="B32" s="2">
        <v>2</v>
      </c>
      <c r="C32" s="2">
        <v>3</v>
      </c>
      <c r="D32" s="2">
        <v>4</v>
      </c>
      <c r="E32" s="2">
        <v>5</v>
      </c>
    </row>
    <row r="33" spans="1:24" x14ac:dyDescent="0.25">
      <c r="A33" s="8">
        <f>$C$18^(A32+1)*A13/$A$18/$B$18</f>
        <v>0.11733399999999998</v>
      </c>
      <c r="B33" s="8">
        <f t="shared" ref="B33:E33" si="6">$C$18^(B32+1)*B13/$A$18/$B$18</f>
        <v>0.18571139999999997</v>
      </c>
      <c r="C33" s="8">
        <f t="shared" si="6"/>
        <v>0.28564181999999994</v>
      </c>
      <c r="D33" s="8">
        <f t="shared" si="6"/>
        <v>0.44867481199999998</v>
      </c>
      <c r="E33" s="8">
        <f t="shared" si="6"/>
        <v>0.89309005299999988</v>
      </c>
    </row>
    <row r="35" spans="1:24" x14ac:dyDescent="0.25">
      <c r="A35" s="11" t="s">
        <v>67</v>
      </c>
    </row>
    <row r="37" spans="1:24" x14ac:dyDescent="0.25">
      <c r="A37" t="s">
        <v>68</v>
      </c>
    </row>
    <row r="38" spans="1:24" x14ac:dyDescent="0.25">
      <c r="A38" t="s">
        <v>69</v>
      </c>
    </row>
    <row r="39" spans="1:24" x14ac:dyDescent="0.25">
      <c r="A39" t="s">
        <v>70</v>
      </c>
    </row>
    <row r="40" spans="1:24" x14ac:dyDescent="0.25">
      <c r="G40" t="s">
        <v>71</v>
      </c>
      <c r="W40" t="s">
        <v>57</v>
      </c>
    </row>
    <row r="41" spans="1:24" x14ac:dyDescent="0.25">
      <c r="A41" s="11" t="s">
        <v>56</v>
      </c>
      <c r="W41">
        <f>IF($A$42+$A$43=2,2,1)</f>
        <v>1</v>
      </c>
      <c r="X41">
        <f>IF($A$42+$A$43&gt;6,5,4)</f>
        <v>4</v>
      </c>
    </row>
    <row r="42" spans="1:24" ht="18" x14ac:dyDescent="0.25">
      <c r="A42" s="12">
        <v>3</v>
      </c>
      <c r="B42" t="s">
        <v>9</v>
      </c>
      <c r="G42" s="15" t="s">
        <v>98</v>
      </c>
      <c r="H42" s="15" t="s">
        <v>99</v>
      </c>
      <c r="I42" s="15" t="s">
        <v>100</v>
      </c>
      <c r="W42">
        <f>W41+IF(W41+2=$A$42+$A$43,2,1)</f>
        <v>2</v>
      </c>
    </row>
    <row r="43" spans="1:24" x14ac:dyDescent="0.25">
      <c r="A43" s="12">
        <v>2</v>
      </c>
      <c r="B43" t="s">
        <v>10</v>
      </c>
      <c r="W43">
        <f>W42+IF(W42+2=$A$42+$A$43,2,1)</f>
        <v>3</v>
      </c>
    </row>
    <row r="44" spans="1:24" ht="18.75" x14ac:dyDescent="0.35">
      <c r="A44" s="12">
        <v>3</v>
      </c>
      <c r="B44" t="s">
        <v>58</v>
      </c>
      <c r="G44" t="s">
        <v>59</v>
      </c>
      <c r="H44" t="s">
        <v>60</v>
      </c>
      <c r="I44" t="s">
        <v>61</v>
      </c>
      <c r="W44">
        <f>W43+IF(W43+2=$A$42+$A$43,2,1)</f>
        <v>5</v>
      </c>
    </row>
    <row r="45" spans="1:24" x14ac:dyDescent="0.25">
      <c r="A45" t="s">
        <v>66</v>
      </c>
      <c r="C45" t="str">
        <f>IF(A42+A43&lt;&gt;A44+1,"","Please enter values satisfying the constraint.")</f>
        <v/>
      </c>
      <c r="W45" t="str">
        <f>IF(X41=5,W44+IF(W44+2=$A$42+$A$43,2,1),"")</f>
        <v/>
      </c>
    </row>
    <row r="46" spans="1:24" ht="18.75" x14ac:dyDescent="0.35">
      <c r="I46" t="s">
        <v>65</v>
      </c>
    </row>
    <row r="47" spans="1:24" x14ac:dyDescent="0.25">
      <c r="A47" s="11" t="s">
        <v>48</v>
      </c>
    </row>
    <row r="48" spans="1:24" ht="18.75" x14ac:dyDescent="0.35">
      <c r="A48" s="14" t="s">
        <v>49</v>
      </c>
      <c r="B48" s="14" t="s">
        <v>50</v>
      </c>
      <c r="C48" s="14" t="s">
        <v>51</v>
      </c>
      <c r="G48" t="s">
        <v>63</v>
      </c>
      <c r="H48" t="s">
        <v>64</v>
      </c>
      <c r="I48" t="s">
        <v>62</v>
      </c>
    </row>
    <row r="49" spans="1:5" x14ac:dyDescent="0.25">
      <c r="A49" s="16">
        <f>C49^A42/INDEX(A5:E5,A42)</f>
        <v>1747864169645.8779</v>
      </c>
      <c r="B49" s="16">
        <f>C49^A43/INDEX(A9:E9,A43)</f>
        <v>583574.75002576807</v>
      </c>
      <c r="C49" s="16">
        <f>(INDEX(A5:E5,A42)*INDEX(A9:E9,A43)*INDEX(A13:E13,A44))^(1/(A42+A43-A44-1))</f>
        <v>27790.861860000001</v>
      </c>
    </row>
    <row r="51" spans="1:5" x14ac:dyDescent="0.25">
      <c r="A51" s="11" t="s">
        <v>2</v>
      </c>
    </row>
    <row r="52" spans="1:5" x14ac:dyDescent="0.25">
      <c r="A52" s="7" t="s">
        <v>53</v>
      </c>
      <c r="B52" s="7" t="s">
        <v>54</v>
      </c>
      <c r="C52" s="15" t="s">
        <v>52</v>
      </c>
    </row>
    <row r="54" spans="1:5" x14ac:dyDescent="0.25">
      <c r="A54" s="11" t="s">
        <v>18</v>
      </c>
    </row>
    <row r="55" spans="1:5" x14ac:dyDescent="0.25">
      <c r="A55" s="2">
        <v>1</v>
      </c>
      <c r="B55" s="2">
        <v>2</v>
      </c>
      <c r="C55" s="2">
        <v>3</v>
      </c>
      <c r="D55" s="2">
        <v>4</v>
      </c>
      <c r="E55" s="2">
        <v>5</v>
      </c>
    </row>
    <row r="56" spans="1:5" x14ac:dyDescent="0.25">
      <c r="A56" s="16">
        <f>$A$49*A5/$C$49^A55</f>
        <v>706293843.06267107</v>
      </c>
      <c r="B56" s="16">
        <f>$A$49*B5/$C$49^B55</f>
        <v>23423.079825000004</v>
      </c>
      <c r="C56" s="16">
        <f>$A$49*C5/$C$49^C55</f>
        <v>1</v>
      </c>
      <c r="D56" s="16">
        <f>$A$49*D5/$C$49^D55</f>
        <v>3.9411403593086312E-5</v>
      </c>
      <c r="E56" s="16">
        <f>$A$49*E5/$C$49^E55</f>
        <v>1.4961667455345407E-9</v>
      </c>
    </row>
    <row r="58" spans="1:5" x14ac:dyDescent="0.25">
      <c r="A58" s="11" t="s">
        <v>23</v>
      </c>
    </row>
    <row r="59" spans="1:5" x14ac:dyDescent="0.25">
      <c r="A59" s="2">
        <v>1</v>
      </c>
      <c r="B59" s="2">
        <v>2</v>
      </c>
      <c r="C59" s="2">
        <v>3</v>
      </c>
      <c r="D59" s="2">
        <v>4</v>
      </c>
      <c r="E59" s="2">
        <v>5</v>
      </c>
    </row>
    <row r="60" spans="1:5" x14ac:dyDescent="0.25">
      <c r="A60" s="16">
        <f>$B$49*A9/$C$49^A59</f>
        <v>15751.409868000002</v>
      </c>
      <c r="B60" s="16">
        <f>$B$49*B9/$C$49^B59</f>
        <v>1</v>
      </c>
      <c r="C60" s="16">
        <f>$B$49*C9/$C$49^C59</f>
        <v>1.9359531257851728E-5</v>
      </c>
      <c r="D60" s="16">
        <f>$B$49*D9/$C$49^D59</f>
        <v>3.4434523600420303E-10</v>
      </c>
      <c r="E60" s="16">
        <f>$B$49*E9/$C$49^E59</f>
        <v>1.7858759040825E-15</v>
      </c>
    </row>
    <row r="62" spans="1:5" x14ac:dyDescent="0.25">
      <c r="A62" s="11" t="s">
        <v>55</v>
      </c>
    </row>
    <row r="63" spans="1:5" x14ac:dyDescent="0.25">
      <c r="A63" s="2">
        <v>1</v>
      </c>
      <c r="B63" s="2">
        <v>2</v>
      </c>
      <c r="C63" s="2">
        <v>3</v>
      </c>
      <c r="D63" s="2">
        <v>4</v>
      </c>
      <c r="E63" s="2">
        <v>5</v>
      </c>
    </row>
    <row r="64" spans="1:5" x14ac:dyDescent="0.25">
      <c r="A64" s="16">
        <f>$C$49^(A63+1)*A13/$A$49/$B$49</f>
        <v>1.5370779644417753E-9</v>
      </c>
      <c r="B64" s="16">
        <f>$C$49^(B63+1)*B13/$A$49/$B$49</f>
        <v>3.9770740593171967E-5</v>
      </c>
      <c r="C64" s="16">
        <f>$C$49^(C63+1)*C13/$A$49/$B$49</f>
        <v>0.99999999999999978</v>
      </c>
      <c r="D64" s="16">
        <f>$C$49^(D63+1)*D13/$A$49/$B$49</f>
        <v>25678.10628</v>
      </c>
      <c r="E64" s="16">
        <f>$C$49^(E63+1)*E13/$A$49/$B$49</f>
        <v>835563862.80992115</v>
      </c>
    </row>
  </sheetData>
  <conditionalFormatting sqref="A45:G45">
    <cfRule type="expression" dxfId="3" priority="1">
      <formula>$C$45&lt;&gt;""</formula>
    </cfRule>
  </conditionalFormatting>
  <dataValidations xWindow="233" yWindow="289" count="4">
    <dataValidation type="decimal" operator="greaterThan" showInputMessage="1" showErrorMessage="1" errorTitle="Invalid Entry" error="Please enter a positive number." promptTitle="Positive Number" prompt="Please enter a positive number." sqref="A5:E5 A9:E9 A18:C18 A13:E13">
      <formula1>0</formula1>
    </dataValidation>
    <dataValidation type="whole" allowBlank="1" showInputMessage="1" showErrorMessage="1" errorTitle="Invalid Entry" error="Enter the reference development period, l. Must be an integer between 1 and 5." promptTitle="Development Period" prompt="Enter the reference development period, l. Must be an integer between 1 and 5." sqref="A43">
      <formula1>1</formula1>
      <formula2>5</formula2>
    </dataValidation>
    <dataValidation type="whole" allowBlank="1" showInputMessage="1" showErrorMessage="1" errorTitle="Invalid Entry" error="Enter the reference exposure period, k. Must be an integer between 1 and 5." promptTitle="Exporsure Period" prompt="Enter the reference exposure period, k. Must be an integer between 1 and 5." sqref="A42">
      <formula1>1</formula1>
      <formula2>5</formula2>
    </dataValidation>
    <dataValidation type="list" showInputMessage="1" showErrorMessage="1" errorTitle="Invalid Entry" error="Enter the reference payment period, m. Must be an integer between 1 and 5 AND must satisfy the constraint k+l=m+1. " promptTitle="Payment Period" prompt="Enter the reference payment period, m. Must be an integer between 1 and 5 AND must satisfy the constraint k+l=m+1. " sqref="A44">
      <formula1>OFFSET($W$41,0,0,$X$41,1)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workbookViewId="0">
      <selection activeCell="A2" sqref="A2"/>
    </sheetView>
  </sheetViews>
  <sheetFormatPr defaultRowHeight="15" x14ac:dyDescent="0.25"/>
  <cols>
    <col min="1" max="5" width="11.42578125" customWidth="1"/>
    <col min="6" max="6" width="2.85546875" customWidth="1"/>
    <col min="7" max="13" width="9.7109375" customWidth="1"/>
    <col min="14" max="14" width="2.85546875" customWidth="1"/>
    <col min="15" max="21" width="9.7109375" customWidth="1"/>
  </cols>
  <sheetData>
    <row r="1" spans="1:21" ht="18.75" x14ac:dyDescent="0.3">
      <c r="A1" s="13" t="s">
        <v>46</v>
      </c>
    </row>
    <row r="3" spans="1:21" x14ac:dyDescent="0.25">
      <c r="A3" s="11" t="s">
        <v>77</v>
      </c>
      <c r="G3" s="11" t="s">
        <v>3</v>
      </c>
      <c r="O3" s="11" t="s">
        <v>28</v>
      </c>
    </row>
    <row r="4" spans="1:2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G4" s="2" t="s">
        <v>0</v>
      </c>
      <c r="H4" s="2" t="s">
        <v>13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O4" s="2" t="s">
        <v>0</v>
      </c>
      <c r="P4" s="2" t="s">
        <v>13</v>
      </c>
      <c r="Q4" s="2">
        <v>1</v>
      </c>
      <c r="R4" s="2">
        <v>2</v>
      </c>
      <c r="S4" s="2">
        <v>3</v>
      </c>
      <c r="T4" s="2">
        <v>4</v>
      </c>
      <c r="U4" s="2">
        <v>5</v>
      </c>
    </row>
    <row r="5" spans="1:21" x14ac:dyDescent="0.25">
      <c r="A5" s="8">
        <f t="array" ref="A5:E5">LN('(4) Mult with Exp &amp; Dev &amp; Pay'!A5:E5)</f>
        <v>2.418588768750352</v>
      </c>
      <c r="B5" s="8">
        <v>2.3369865197113779</v>
      </c>
      <c r="C5" s="8">
        <v>2.5079719227189963</v>
      </c>
      <c r="D5" s="8">
        <v>2.5989791060478482</v>
      </c>
      <c r="E5" s="8">
        <v>2.6525374911719513</v>
      </c>
      <c r="G5" s="2" t="s">
        <v>14</v>
      </c>
      <c r="H5" s="3"/>
      <c r="I5" s="3"/>
      <c r="J5" s="3"/>
      <c r="K5" s="3"/>
      <c r="L5" s="3"/>
      <c r="M5" s="3"/>
      <c r="O5" s="2" t="s">
        <v>14</v>
      </c>
      <c r="P5" s="3"/>
      <c r="Q5" s="3"/>
      <c r="R5" s="3"/>
      <c r="S5" s="3"/>
      <c r="T5" s="3"/>
      <c r="U5" s="3"/>
    </row>
    <row r="6" spans="1:21" x14ac:dyDescent="0.25">
      <c r="G6" s="2">
        <v>1</v>
      </c>
      <c r="H6" s="3"/>
      <c r="I6" s="8">
        <f>EXP(INDEX($A$5:$E$5,$G6)+INDEX($A$9:$E$9,I$4)+INDEX($A$13:$E$13,$G6+I$4-1))</f>
        <v>17100.182659000024</v>
      </c>
      <c r="J6" s="8">
        <f t="shared" ref="J6:L9" si="0">EXP(INDEX($A$5:$E$5,$G6)+INDEX($A$9:$E$9,J$4)+INDEX($A$13:$E$13,$G6+J$4-1))</f>
        <v>28089.829214999994</v>
      </c>
      <c r="K6" s="8">
        <f t="shared" si="0"/>
        <v>13673.517732000008</v>
      </c>
      <c r="L6" s="8">
        <f t="shared" si="0"/>
        <v>6245.1444980000042</v>
      </c>
      <c r="M6" s="8">
        <f>EXP(INDEX($A$5:$E$5,$G6)+INDEX($A$9:$E$9,M$4)+INDEX($A$13:$E$13,$G6+M$4-1))</f>
        <v>1053.9411150000005</v>
      </c>
      <c r="O6" s="2">
        <v>1</v>
      </c>
      <c r="P6" s="3"/>
      <c r="Q6" s="5">
        <f>'(4) Mult with Exp &amp; Dev &amp; Pay'!I6-'(5) LogLin with Exp &amp; Dev &amp; Pay'!I6</f>
        <v>0</v>
      </c>
      <c r="R6" s="5">
        <f>'(4) Mult with Exp &amp; Dev &amp; Pay'!J6-'(5) LogLin with Exp &amp; Dev &amp; Pay'!J6</f>
        <v>0</v>
      </c>
      <c r="S6" s="5">
        <f>'(4) Mult with Exp &amp; Dev &amp; Pay'!K6-'(5) LogLin with Exp &amp; Dev &amp; Pay'!K6</f>
        <v>0</v>
      </c>
      <c r="T6" s="5">
        <f>'(4) Mult with Exp &amp; Dev &amp; Pay'!L6-'(5) LogLin with Exp &amp; Dev &amp; Pay'!L6</f>
        <v>0</v>
      </c>
      <c r="U6" s="5">
        <f>'(4) Mult with Exp &amp; Dev &amp; Pay'!M6-'(5) LogLin with Exp &amp; Dev &amp; Pay'!M6</f>
        <v>0</v>
      </c>
    </row>
    <row r="7" spans="1:21" x14ac:dyDescent="0.25">
      <c r="A7" s="11" t="s">
        <v>78</v>
      </c>
      <c r="G7" s="2">
        <v>2</v>
      </c>
      <c r="H7" s="3"/>
      <c r="I7" s="8">
        <f t="shared" ref="I7:I10" si="1">EXP(INDEX($A$5:$E$5,$G7)+INDEX($A$9:$E$9,I$4)+INDEX($A$13:$E$13,$G7+I$4-1))</f>
        <v>14673.276765000002</v>
      </c>
      <c r="J7" s="8">
        <f t="shared" si="0"/>
        <v>23423.079824999983</v>
      </c>
      <c r="K7" s="8">
        <f t="shared" si="0"/>
        <v>11643.990120000004</v>
      </c>
      <c r="L7" s="8">
        <f t="shared" si="0"/>
        <v>6739.3455749999957</v>
      </c>
      <c r="M7" s="9"/>
      <c r="O7" s="2">
        <v>2</v>
      </c>
      <c r="P7" s="3"/>
      <c r="Q7" s="5">
        <f>'(4) Mult with Exp &amp; Dev &amp; Pay'!I7-'(5) LogLin with Exp &amp; Dev &amp; Pay'!I7</f>
        <v>0</v>
      </c>
      <c r="R7" s="5">
        <f>'(4) Mult with Exp &amp; Dev &amp; Pay'!J7-'(5) LogLin with Exp &amp; Dev &amp; Pay'!J7</f>
        <v>0</v>
      </c>
      <c r="S7" s="5">
        <f>'(4) Mult with Exp &amp; Dev &amp; Pay'!K7-'(5) LogLin with Exp &amp; Dev &amp; Pay'!K7</f>
        <v>0</v>
      </c>
      <c r="T7" s="5">
        <f>'(4) Mult with Exp &amp; Dev &amp; Pay'!L7-'(5) LogLin with Exp &amp; Dev &amp; Pay'!L7</f>
        <v>0</v>
      </c>
      <c r="U7" s="1"/>
    </row>
    <row r="8" spans="1:2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G8" s="2">
        <v>3</v>
      </c>
      <c r="H8" s="3"/>
      <c r="I8" s="8">
        <f t="shared" si="1"/>
        <v>15751.409868000006</v>
      </c>
      <c r="J8" s="8">
        <f t="shared" si="0"/>
        <v>25678.106279999996</v>
      </c>
      <c r="K8" s="8">
        <f t="shared" si="0"/>
        <v>16176.124719999998</v>
      </c>
      <c r="L8" s="9"/>
      <c r="M8" s="9"/>
      <c r="O8" s="2">
        <v>3</v>
      </c>
      <c r="P8" s="3"/>
      <c r="Q8" s="5">
        <f>'(4) Mult with Exp &amp; Dev &amp; Pay'!I8-'(5) LogLin with Exp &amp; Dev &amp; Pay'!I8</f>
        <v>0</v>
      </c>
      <c r="R8" s="5">
        <f>'(4) Mult with Exp &amp; Dev &amp; Pay'!J8-'(5) LogLin with Exp &amp; Dev &amp; Pay'!J8</f>
        <v>0</v>
      </c>
      <c r="S8" s="5">
        <f>'(4) Mult with Exp &amp; Dev &amp; Pay'!K8-'(5) LogLin with Exp &amp; Dev &amp; Pay'!K8</f>
        <v>0</v>
      </c>
      <c r="T8" s="1"/>
      <c r="U8" s="1"/>
    </row>
    <row r="9" spans="1:21" x14ac:dyDescent="0.25">
      <c r="A9" s="8">
        <f t="array" ref="A9:E9">LN('(4) Mult with Exp &amp; Dev &amp; Pay'!A9:E9)</f>
        <v>6.6202198624425188</v>
      </c>
      <c r="B9" s="8">
        <v>7.1879972423362233</v>
      </c>
      <c r="C9" s="8">
        <v>6.5681340896092317</v>
      </c>
      <c r="D9" s="8">
        <v>5.8635459446933194</v>
      </c>
      <c r="E9" s="8">
        <v>3.9265174515785985</v>
      </c>
      <c r="G9" s="2">
        <v>4</v>
      </c>
      <c r="H9" s="3"/>
      <c r="I9" s="8">
        <f t="shared" si="1"/>
        <v>15940.587610000019</v>
      </c>
      <c r="J9" s="8">
        <f t="shared" si="0"/>
        <v>32930.744624999985</v>
      </c>
      <c r="K9" s="9"/>
      <c r="L9" s="9"/>
      <c r="M9" s="9"/>
      <c r="O9" s="2">
        <v>4</v>
      </c>
      <c r="P9" s="3"/>
      <c r="Q9" s="5">
        <f>'(4) Mult with Exp &amp; Dev &amp; Pay'!I9-'(5) LogLin with Exp &amp; Dev &amp; Pay'!I9</f>
        <v>-1.8189894035458565E-11</v>
      </c>
      <c r="R9" s="5">
        <f>'(4) Mult with Exp &amp; Dev &amp; Pay'!J9-'(5) LogLin with Exp &amp; Dev &amp; Pay'!J9</f>
        <v>0</v>
      </c>
      <c r="S9" s="1"/>
      <c r="T9" s="1"/>
      <c r="U9" s="1"/>
    </row>
    <row r="10" spans="1:21" x14ac:dyDescent="0.25">
      <c r="G10" s="2">
        <v>5</v>
      </c>
      <c r="H10" s="3"/>
      <c r="I10" s="8">
        <f t="shared" si="1"/>
        <v>19691.512664999991</v>
      </c>
      <c r="J10" s="9"/>
      <c r="K10" s="9"/>
      <c r="L10" s="9"/>
      <c r="M10" s="9"/>
      <c r="O10" s="2">
        <v>5</v>
      </c>
      <c r="P10" s="3"/>
      <c r="Q10" s="5">
        <f>'(4) Mult with Exp &amp; Dev &amp; Pay'!I10-'(5) LogLin with Exp &amp; Dev &amp; Pay'!I10</f>
        <v>0</v>
      </c>
      <c r="R10" s="1"/>
      <c r="S10" s="1"/>
      <c r="T10" s="1"/>
      <c r="U10" s="1"/>
    </row>
    <row r="11" spans="1:21" x14ac:dyDescent="0.25">
      <c r="A11" s="11" t="s">
        <v>79</v>
      </c>
    </row>
    <row r="12" spans="1:2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G12" s="11" t="s">
        <v>30</v>
      </c>
      <c r="O12" s="11" t="s">
        <v>31</v>
      </c>
    </row>
    <row r="13" spans="1:21" x14ac:dyDescent="0.25">
      <c r="A13" s="8">
        <f t="array" ref="A13:E13">LN('(4) Mult with Exp &amp; Dev &amp; Pay'!A13:E13)</f>
        <v>0.70803579305369591</v>
      </c>
      <c r="B13" s="8">
        <v>0.636576829071551</v>
      </c>
      <c r="C13" s="8">
        <v>0.53649337051456847</v>
      </c>
      <c r="D13" s="8">
        <v>0.45742484703887548</v>
      </c>
      <c r="E13" s="8">
        <v>0.61518563909023349</v>
      </c>
      <c r="G13" s="2" t="s">
        <v>0</v>
      </c>
      <c r="H13" s="2" t="s">
        <v>13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O13" s="2" t="s">
        <v>0</v>
      </c>
      <c r="P13" s="2" t="s">
        <v>13</v>
      </c>
      <c r="Q13" s="2">
        <v>1</v>
      </c>
      <c r="R13" s="2">
        <v>2</v>
      </c>
      <c r="S13" s="2">
        <v>3</v>
      </c>
      <c r="T13" s="2">
        <v>4</v>
      </c>
      <c r="U13" s="2">
        <v>5</v>
      </c>
    </row>
    <row r="14" spans="1:21" x14ac:dyDescent="0.25">
      <c r="G14" s="2" t="s">
        <v>14</v>
      </c>
      <c r="H14" s="3"/>
      <c r="I14" s="3"/>
      <c r="J14" s="3"/>
      <c r="K14" s="3"/>
      <c r="L14" s="3"/>
      <c r="M14" s="3"/>
      <c r="O14" s="2" t="s">
        <v>14</v>
      </c>
      <c r="P14" s="3"/>
      <c r="Q14" s="3"/>
      <c r="R14" s="3"/>
      <c r="S14" s="3"/>
      <c r="T14" s="3"/>
      <c r="U14" s="3"/>
    </row>
    <row r="15" spans="1:21" x14ac:dyDescent="0.25">
      <c r="G15" s="2">
        <v>1</v>
      </c>
      <c r="H15" s="3"/>
      <c r="I15" s="8">
        <f>EXP(INDEX($A$25:$E$25,$G15)+INDEX($A$29:$E$29,I$13)+INDEX($A$33:$E$33,$G15+I$13-1))</f>
        <v>17100.182659000024</v>
      </c>
      <c r="J15" s="8">
        <f t="shared" ref="J15:L18" si="2">EXP(INDEX($A$25:$E$25,$G15)+INDEX($A$29:$E$29,J$13)+INDEX($A$33:$E$33,$G15+J$13-1))</f>
        <v>28089.829215000045</v>
      </c>
      <c r="K15" s="8">
        <f t="shared" si="2"/>
        <v>13673.517732000008</v>
      </c>
      <c r="L15" s="8">
        <f t="shared" si="2"/>
        <v>6245.1444979999933</v>
      </c>
      <c r="M15" s="8">
        <f>EXP(INDEX($A$25:$E$25,$G15)+INDEX($A$29:$E$29,M$13)+INDEX($A$33:$E$33,$G15+M$13-1))</f>
        <v>1053.9411149999996</v>
      </c>
      <c r="O15" s="2">
        <v>1</v>
      </c>
      <c r="P15" s="3"/>
      <c r="Q15" s="5">
        <f>I6-I15</f>
        <v>0</v>
      </c>
      <c r="R15" s="5">
        <f>J6-J15</f>
        <v>-5.0931703299283981E-11</v>
      </c>
      <c r="S15" s="5">
        <f>K6-K15</f>
        <v>0</v>
      </c>
      <c r="T15" s="5">
        <f>L6-L15</f>
        <v>1.0913936421275139E-11</v>
      </c>
      <c r="U15" s="5">
        <f>M6-M15</f>
        <v>0</v>
      </c>
    </row>
    <row r="16" spans="1:21" x14ac:dyDescent="0.25">
      <c r="A16" s="11" t="s">
        <v>48</v>
      </c>
      <c r="G16" s="2">
        <v>2</v>
      </c>
      <c r="H16" s="3"/>
      <c r="I16" s="8">
        <f t="shared" ref="I16:I19" si="3">EXP(INDEX($A$25:$E$25,$G16)+INDEX($A$29:$E$29,I$13)+INDEX($A$33:$E$33,$G16+I$13-1))</f>
        <v>14673.276765000028</v>
      </c>
      <c r="J16" s="8">
        <f t="shared" si="2"/>
        <v>23423.079824999983</v>
      </c>
      <c r="K16" s="8">
        <f t="shared" si="2"/>
        <v>11643.990120000004</v>
      </c>
      <c r="L16" s="8">
        <f t="shared" si="2"/>
        <v>6739.3455749999957</v>
      </c>
      <c r="M16" s="9"/>
      <c r="O16" s="2">
        <v>2</v>
      </c>
      <c r="P16" s="3"/>
      <c r="Q16" s="5">
        <f>I7-I16</f>
        <v>-2.5465851649641991E-11</v>
      </c>
      <c r="R16" s="5">
        <f>J7-J16</f>
        <v>0</v>
      </c>
      <c r="S16" s="5">
        <f>K7-K16</f>
        <v>0</v>
      </c>
      <c r="T16" s="5">
        <f>L7-L16</f>
        <v>0</v>
      </c>
      <c r="U16" s="1"/>
    </row>
    <row r="17" spans="1:21" x14ac:dyDescent="0.25">
      <c r="A17" s="18" t="s">
        <v>80</v>
      </c>
      <c r="B17" s="14" t="s">
        <v>81</v>
      </c>
      <c r="C17" s="14" t="s">
        <v>82</v>
      </c>
      <c r="G17" s="2">
        <v>3</v>
      </c>
      <c r="H17" s="3"/>
      <c r="I17" s="8">
        <f t="shared" si="3"/>
        <v>15751.409868000006</v>
      </c>
      <c r="J17" s="8">
        <f t="shared" si="2"/>
        <v>25678.106279999996</v>
      </c>
      <c r="K17" s="8">
        <f t="shared" si="2"/>
        <v>16176.124720000027</v>
      </c>
      <c r="L17" s="9"/>
      <c r="M17" s="9"/>
      <c r="O17" s="2">
        <v>3</v>
      </c>
      <c r="P17" s="3"/>
      <c r="Q17" s="5">
        <f>I8-I17</f>
        <v>0</v>
      </c>
      <c r="R17" s="5">
        <f>J8-J17</f>
        <v>0</v>
      </c>
      <c r="S17" s="5">
        <f>K8-K17</f>
        <v>-2.9103830456733704E-11</v>
      </c>
      <c r="T17" s="1"/>
      <c r="U17" s="1"/>
    </row>
    <row r="18" spans="1:21" x14ac:dyDescent="0.25">
      <c r="A18" s="8">
        <f t="array" ref="A18:C18">LN('(4) Mult with Exp &amp; Dev &amp; Pay'!A18:C18)</f>
        <v>2.3025850929940459</v>
      </c>
      <c r="B18" s="8">
        <v>1.6094379124341003</v>
      </c>
      <c r="C18" s="8">
        <v>0.53062825106217038</v>
      </c>
      <c r="G18" s="2">
        <v>4</v>
      </c>
      <c r="H18" s="3"/>
      <c r="I18" s="8">
        <f t="shared" si="3"/>
        <v>15940.587610000019</v>
      </c>
      <c r="J18" s="8">
        <f t="shared" si="2"/>
        <v>32930.744624999985</v>
      </c>
      <c r="K18" s="9"/>
      <c r="L18" s="9"/>
      <c r="M18" s="9"/>
      <c r="O18" s="2">
        <v>4</v>
      </c>
      <c r="P18" s="3"/>
      <c r="Q18" s="5">
        <f>I9-I18</f>
        <v>0</v>
      </c>
      <c r="R18" s="5">
        <f>J9-J18</f>
        <v>0</v>
      </c>
      <c r="S18" s="1"/>
      <c r="T18" s="1"/>
      <c r="U18" s="1"/>
    </row>
    <row r="19" spans="1:21" x14ac:dyDescent="0.25">
      <c r="G19" s="2">
        <v>5</v>
      </c>
      <c r="H19" s="3"/>
      <c r="I19" s="8">
        <f t="shared" si="3"/>
        <v>19691.512665000027</v>
      </c>
      <c r="J19" s="9"/>
      <c r="K19" s="9"/>
      <c r="L19" s="9"/>
      <c r="M19" s="9"/>
      <c r="O19" s="2">
        <v>5</v>
      </c>
      <c r="P19" s="3"/>
      <c r="Q19" s="5">
        <f>I10-I19</f>
        <v>-3.637978807091713E-11</v>
      </c>
      <c r="R19" s="1"/>
      <c r="S19" s="1"/>
      <c r="T19" s="1"/>
      <c r="U19" s="1"/>
    </row>
    <row r="20" spans="1:21" x14ac:dyDescent="0.25">
      <c r="A20" s="11" t="s">
        <v>2</v>
      </c>
    </row>
    <row r="21" spans="1:21" x14ac:dyDescent="0.25">
      <c r="A21" s="7" t="s">
        <v>83</v>
      </c>
      <c r="B21" s="7" t="s">
        <v>84</v>
      </c>
      <c r="C21" s="15" t="s">
        <v>85</v>
      </c>
      <c r="G21" s="11" t="s">
        <v>73</v>
      </c>
      <c r="O21" s="11" t="s">
        <v>74</v>
      </c>
    </row>
    <row r="22" spans="1:21" x14ac:dyDescent="0.25">
      <c r="G22" s="2" t="s">
        <v>0</v>
      </c>
      <c r="H22" s="2" t="s">
        <v>13</v>
      </c>
      <c r="I22" s="2">
        <v>1</v>
      </c>
      <c r="J22" s="2">
        <v>2</v>
      </c>
      <c r="K22" s="2">
        <v>3</v>
      </c>
      <c r="L22" s="2">
        <v>4</v>
      </c>
      <c r="M22" s="2">
        <v>5</v>
      </c>
      <c r="O22" s="2" t="s">
        <v>0</v>
      </c>
      <c r="P22" s="2" t="s">
        <v>13</v>
      </c>
      <c r="Q22" s="2">
        <v>1</v>
      </c>
      <c r="R22" s="2">
        <v>2</v>
      </c>
      <c r="S22" s="2">
        <v>3</v>
      </c>
      <c r="T22" s="2">
        <v>4</v>
      </c>
      <c r="U22" s="2">
        <v>5</v>
      </c>
    </row>
    <row r="23" spans="1:21" x14ac:dyDescent="0.25">
      <c r="A23" s="11" t="s">
        <v>86</v>
      </c>
      <c r="G23" s="2" t="s">
        <v>14</v>
      </c>
      <c r="H23" s="3"/>
      <c r="I23" s="3"/>
      <c r="J23" s="3"/>
      <c r="K23" s="3"/>
      <c r="L23" s="3"/>
      <c r="M23" s="3"/>
      <c r="O23" s="2" t="s">
        <v>14</v>
      </c>
      <c r="P23" s="3"/>
      <c r="Q23" s="3"/>
      <c r="R23" s="3"/>
      <c r="S23" s="3"/>
      <c r="T23" s="3"/>
      <c r="U23" s="3"/>
    </row>
    <row r="24" spans="1:21" x14ac:dyDescent="0.25">
      <c r="A24" s="2">
        <v>1</v>
      </c>
      <c r="B24" s="2">
        <v>2</v>
      </c>
      <c r="C24" s="2">
        <v>3</v>
      </c>
      <c r="D24" s="2">
        <v>4</v>
      </c>
      <c r="E24" s="2">
        <v>5</v>
      </c>
      <c r="G24" s="2">
        <v>1</v>
      </c>
      <c r="H24" s="3"/>
      <c r="I24" s="8">
        <f>EXP(INDEX($A$56:$E$56,$G24)+INDEX($A$60:$E$60,I$22)+INDEX($A$64:$E$64,$G24+I$22-1))</f>
        <v>17100.182659000024</v>
      </c>
      <c r="J24" s="8">
        <f t="shared" ref="J24:L27" si="4">EXP(INDEX($A$56:$E$56,$G24)+INDEX($A$60:$E$60,J$22)+INDEX($A$64:$E$64,$G24+J$22-1))</f>
        <v>28089.829214999845</v>
      </c>
      <c r="K24" s="8">
        <f t="shared" si="4"/>
        <v>13673.517731999935</v>
      </c>
      <c r="L24" s="8">
        <f t="shared" si="4"/>
        <v>6245.1444980000042</v>
      </c>
      <c r="M24" s="8">
        <f>EXP(INDEX($A$56:$E$56,$G24)+INDEX($A$60:$E$60,M$22)+INDEX($A$64:$E$64,$G24+M$22-1))</f>
        <v>1053.9411149999951</v>
      </c>
      <c r="O24" s="2">
        <v>1</v>
      </c>
      <c r="P24" s="3"/>
      <c r="Q24" s="5">
        <f>I6-I24</f>
        <v>0</v>
      </c>
      <c r="R24" s="5">
        <f>J6-J24</f>
        <v>1.4915713109076023E-10</v>
      </c>
      <c r="S24" s="5">
        <f>K6-K24</f>
        <v>7.2759576141834259E-11</v>
      </c>
      <c r="T24" s="5">
        <f>L6-L24</f>
        <v>0</v>
      </c>
      <c r="U24" s="5">
        <f>M6-M24</f>
        <v>5.4569682106375694E-12</v>
      </c>
    </row>
    <row r="25" spans="1:21" x14ac:dyDescent="0.25">
      <c r="A25" s="8">
        <f>A5+$A$18-A24*$C$18</f>
        <v>4.1905456106822276</v>
      </c>
      <c r="B25" s="8">
        <f t="shared" ref="B25:E25" si="5">B5+$A$18-B24*$C$18</f>
        <v>3.5783151105810838</v>
      </c>
      <c r="C25" s="8">
        <f t="shared" si="5"/>
        <v>3.2186722625265314</v>
      </c>
      <c r="D25" s="8">
        <f t="shared" si="5"/>
        <v>2.7790511947932131</v>
      </c>
      <c r="E25" s="8">
        <f t="shared" si="5"/>
        <v>2.3019813288551449</v>
      </c>
      <c r="G25" s="2">
        <v>2</v>
      </c>
      <c r="H25" s="3"/>
      <c r="I25" s="8">
        <f t="shared" ref="I25:I28" si="6">EXP(INDEX($A$56:$E$56,$G25)+INDEX($A$60:$E$60,I$22)+INDEX($A$64:$E$64,$G25+I$22-1))</f>
        <v>14673.276764999924</v>
      </c>
      <c r="J25" s="8">
        <f t="shared" si="4"/>
        <v>23423.079824999943</v>
      </c>
      <c r="K25" s="8">
        <f t="shared" si="4"/>
        <v>11643.990119999984</v>
      </c>
      <c r="L25" s="8">
        <f t="shared" si="4"/>
        <v>6739.3455749999957</v>
      </c>
      <c r="M25" s="9"/>
      <c r="O25" s="2">
        <v>2</v>
      </c>
      <c r="P25" s="3"/>
      <c r="Q25" s="5">
        <f>I7-I25</f>
        <v>7.8216544352471828E-11</v>
      </c>
      <c r="R25" s="5">
        <f>J7-J25</f>
        <v>4.0017766878008842E-11</v>
      </c>
      <c r="S25" s="5">
        <f>K7-K25</f>
        <v>2.0008883439004421E-11</v>
      </c>
      <c r="T25" s="5">
        <f>L7-L25</f>
        <v>0</v>
      </c>
      <c r="U25" s="1"/>
    </row>
    <row r="26" spans="1:21" x14ac:dyDescent="0.25">
      <c r="G26" s="2">
        <v>3</v>
      </c>
      <c r="H26" s="3"/>
      <c r="I26" s="8">
        <f t="shared" si="6"/>
        <v>15751.409867999977</v>
      </c>
      <c r="J26" s="8">
        <f t="shared" si="4"/>
        <v>25678.10628000004</v>
      </c>
      <c r="K26" s="8">
        <f t="shared" si="4"/>
        <v>16176.124719999969</v>
      </c>
      <c r="L26" s="9"/>
      <c r="M26" s="9"/>
      <c r="O26" s="2">
        <v>3</v>
      </c>
      <c r="P26" s="3"/>
      <c r="Q26" s="5">
        <f>I8-I26</f>
        <v>2.9103830456733704E-11</v>
      </c>
      <c r="R26" s="5">
        <f>J8-J26</f>
        <v>-4.3655745685100555E-11</v>
      </c>
      <c r="S26" s="5">
        <f>K8-K26</f>
        <v>2.9103830456733704E-11</v>
      </c>
      <c r="T26" s="1"/>
      <c r="U26" s="1"/>
    </row>
    <row r="27" spans="1:21" x14ac:dyDescent="0.25">
      <c r="A27" s="11" t="s">
        <v>35</v>
      </c>
      <c r="G27" s="2">
        <v>4</v>
      </c>
      <c r="H27" s="3"/>
      <c r="I27" s="8">
        <f t="shared" si="6"/>
        <v>15940.587610000019</v>
      </c>
      <c r="J27" s="8">
        <f t="shared" si="4"/>
        <v>32930.744624999985</v>
      </c>
      <c r="K27" s="9"/>
      <c r="L27" s="9"/>
      <c r="M27" s="9"/>
      <c r="O27" s="2">
        <v>4</v>
      </c>
      <c r="P27" s="3"/>
      <c r="Q27" s="5">
        <f>I9-I27</f>
        <v>0</v>
      </c>
      <c r="R27" s="5">
        <f>J9-J27</f>
        <v>0</v>
      </c>
      <c r="S27" s="1"/>
      <c r="T27" s="1"/>
      <c r="U27" s="1"/>
    </row>
    <row r="28" spans="1:21" x14ac:dyDescent="0.25">
      <c r="A28" s="2">
        <v>1</v>
      </c>
      <c r="B28" s="2">
        <v>2</v>
      </c>
      <c r="C28" s="2">
        <v>3</v>
      </c>
      <c r="D28" s="2">
        <v>4</v>
      </c>
      <c r="E28" s="2">
        <v>5</v>
      </c>
      <c r="G28" s="2">
        <v>5</v>
      </c>
      <c r="H28" s="3"/>
      <c r="I28" s="8">
        <f t="shared" si="6"/>
        <v>19691.512664999958</v>
      </c>
      <c r="J28" s="9"/>
      <c r="K28" s="9"/>
      <c r="L28" s="9"/>
      <c r="M28" s="9"/>
      <c r="O28" s="2">
        <v>5</v>
      </c>
      <c r="P28" s="3"/>
      <c r="Q28" s="5">
        <f>I10-I28</f>
        <v>3.2741809263825417E-11</v>
      </c>
      <c r="R28" s="1"/>
      <c r="S28" s="1"/>
      <c r="T28" s="1"/>
      <c r="U28" s="1"/>
    </row>
    <row r="29" spans="1:21" x14ac:dyDescent="0.25">
      <c r="A29" s="8">
        <f>A9+$B$18-A28*$C$18</f>
        <v>7.699029523814449</v>
      </c>
      <c r="B29" s="8">
        <f t="shared" ref="B29:E29" si="7">B9+$B$18-B28*$C$18</f>
        <v>7.7361786526459824</v>
      </c>
      <c r="C29" s="8">
        <f t="shared" si="7"/>
        <v>6.5856872488568214</v>
      </c>
      <c r="D29" s="8">
        <f t="shared" si="7"/>
        <v>5.3504708528787379</v>
      </c>
      <c r="E29" s="8">
        <f t="shared" si="7"/>
        <v>2.8828141087018468</v>
      </c>
    </row>
    <row r="31" spans="1:21" x14ac:dyDescent="0.25">
      <c r="A31" s="11" t="s">
        <v>87</v>
      </c>
    </row>
    <row r="32" spans="1:21" x14ac:dyDescent="0.25">
      <c r="A32" s="2">
        <v>1</v>
      </c>
      <c r="B32" s="2">
        <v>2</v>
      </c>
      <c r="C32" s="2">
        <v>3</v>
      </c>
      <c r="D32" s="2">
        <v>4</v>
      </c>
      <c r="E32" s="2">
        <v>5</v>
      </c>
    </row>
    <row r="33" spans="1:24" x14ac:dyDescent="0.25">
      <c r="A33" s="8">
        <f>A13-$A$18-$B$18+(A32+1)*$C$18</f>
        <v>-2.1427307102501096</v>
      </c>
      <c r="B33" s="8">
        <f t="shared" ref="B33:E33" si="8">B13-$A$18-$B$18+(B32+1)*$C$18</f>
        <v>-1.6835614231700839</v>
      </c>
      <c r="C33" s="8">
        <f t="shared" si="8"/>
        <v>-1.2530166306648964</v>
      </c>
      <c r="D33" s="8">
        <f t="shared" si="8"/>
        <v>-0.80145690307841866</v>
      </c>
      <c r="E33" s="8">
        <f t="shared" si="8"/>
        <v>-0.11306785996489044</v>
      </c>
    </row>
    <row r="35" spans="1:24" x14ac:dyDescent="0.25">
      <c r="A35" s="11" t="s">
        <v>67</v>
      </c>
    </row>
    <row r="37" spans="1:24" x14ac:dyDescent="0.25">
      <c r="A37" t="s">
        <v>68</v>
      </c>
    </row>
    <row r="38" spans="1:24" x14ac:dyDescent="0.25">
      <c r="A38" t="s">
        <v>69</v>
      </c>
    </row>
    <row r="39" spans="1:24" x14ac:dyDescent="0.25">
      <c r="A39" t="s">
        <v>72</v>
      </c>
    </row>
    <row r="40" spans="1:24" x14ac:dyDescent="0.25">
      <c r="G40" t="s">
        <v>71</v>
      </c>
      <c r="W40" t="s">
        <v>57</v>
      </c>
    </row>
    <row r="41" spans="1:24" x14ac:dyDescent="0.25">
      <c r="A41" s="11" t="s">
        <v>56</v>
      </c>
      <c r="W41">
        <f>IF($A$42+$A$43=2,2,1)</f>
        <v>1</v>
      </c>
      <c r="X41">
        <f>IF($A$42+$A$43&gt;6,5,4)</f>
        <v>4</v>
      </c>
    </row>
    <row r="42" spans="1:24" ht="18" x14ac:dyDescent="0.25">
      <c r="A42" s="17">
        <f>'(4) Mult with Exp &amp; Dev &amp; Pay'!A42</f>
        <v>3</v>
      </c>
      <c r="B42" t="s">
        <v>9</v>
      </c>
      <c r="G42" s="15" t="s">
        <v>88</v>
      </c>
      <c r="H42" s="15" t="s">
        <v>89</v>
      </c>
      <c r="I42" s="15" t="s">
        <v>90</v>
      </c>
      <c r="W42">
        <f>W41+IF(W41+2=$A$42+$A$43,2,1)</f>
        <v>2</v>
      </c>
    </row>
    <row r="43" spans="1:24" x14ac:dyDescent="0.25">
      <c r="A43" s="17">
        <f>'(4) Mult with Exp &amp; Dev &amp; Pay'!A43</f>
        <v>2</v>
      </c>
      <c r="B43" t="s">
        <v>10</v>
      </c>
      <c r="W43">
        <f>W42+IF(W42+2=$A$42+$A$43,2,1)</f>
        <v>3</v>
      </c>
    </row>
    <row r="44" spans="1:24" ht="18" x14ac:dyDescent="0.35">
      <c r="A44" s="17">
        <f>'(4) Mult with Exp &amp; Dev &amp; Pay'!A44</f>
        <v>3</v>
      </c>
      <c r="B44" t="s">
        <v>58</v>
      </c>
      <c r="G44" t="s">
        <v>91</v>
      </c>
      <c r="H44" t="s">
        <v>92</v>
      </c>
      <c r="I44" t="s">
        <v>93</v>
      </c>
      <c r="W44">
        <f>W43+IF(W43+2=$A$42+$A$43,2,1)</f>
        <v>5</v>
      </c>
    </row>
    <row r="45" spans="1:24" x14ac:dyDescent="0.25">
      <c r="A45" t="s">
        <v>66</v>
      </c>
      <c r="C45" t="str">
        <f>IF(A42+A43&lt;&gt;A44+1,"","Please enter values satisfying the constraint on previous tab.")</f>
        <v/>
      </c>
      <c r="W45" t="str">
        <f>IF(X41=5,W44+IF(W44+2=$A$42+$A$43,2,1),"")</f>
        <v/>
      </c>
    </row>
    <row r="46" spans="1:24" ht="18" x14ac:dyDescent="0.35">
      <c r="I46" t="s">
        <v>94</v>
      </c>
    </row>
    <row r="47" spans="1:24" x14ac:dyDescent="0.25">
      <c r="A47" s="11" t="s">
        <v>48</v>
      </c>
    </row>
    <row r="48" spans="1:24" ht="18" x14ac:dyDescent="0.35">
      <c r="A48" s="18" t="s">
        <v>80</v>
      </c>
      <c r="B48" s="14" t="s">
        <v>81</v>
      </c>
      <c r="C48" s="14" t="s">
        <v>82</v>
      </c>
      <c r="G48" t="s">
        <v>96</v>
      </c>
      <c r="H48" t="s">
        <v>97</v>
      </c>
      <c r="I48" t="s">
        <v>95</v>
      </c>
    </row>
    <row r="49" spans="1:5" x14ac:dyDescent="0.25">
      <c r="A49" s="8">
        <f>A42*C49-INDEX(A5:E5,A42)</f>
        <v>28.189415683990365</v>
      </c>
      <c r="B49" s="8">
        <f>A43*C49-INDEX(A9:E9,A43)</f>
        <v>13.276927828803352</v>
      </c>
      <c r="C49" s="8">
        <f>(INDEX(A5:E5,A42)+INDEX(A9:E9,A43)+INDEX(A13:E13,A44))/(A42+A43-A44-1)</f>
        <v>10.232462535569788</v>
      </c>
    </row>
    <row r="51" spans="1:5" x14ac:dyDescent="0.25">
      <c r="A51" s="11" t="s">
        <v>2</v>
      </c>
    </row>
    <row r="52" spans="1:5" x14ac:dyDescent="0.25">
      <c r="A52" s="7" t="s">
        <v>83</v>
      </c>
      <c r="B52" s="7" t="s">
        <v>84</v>
      </c>
      <c r="C52" s="15" t="s">
        <v>85</v>
      </c>
    </row>
    <row r="54" spans="1:5" x14ac:dyDescent="0.25">
      <c r="A54" s="11" t="s">
        <v>18</v>
      </c>
    </row>
    <row r="55" spans="1:5" x14ac:dyDescent="0.25">
      <c r="A55" s="2">
        <v>1</v>
      </c>
      <c r="B55" s="2">
        <v>2</v>
      </c>
      <c r="C55" s="2">
        <v>3</v>
      </c>
      <c r="D55" s="2">
        <v>4</v>
      </c>
      <c r="E55" s="2">
        <v>5</v>
      </c>
    </row>
    <row r="56" spans="1:5" x14ac:dyDescent="0.25">
      <c r="A56" s="8">
        <f>A5+$A$49-A55*$C$49</f>
        <v>20.375541917170928</v>
      </c>
      <c r="B56" s="8">
        <f t="shared" ref="B56:E56" si="9">B5+$A$49-B55*$C$49</f>
        <v>10.061477132562167</v>
      </c>
      <c r="C56" s="8">
        <f t="shared" si="9"/>
        <v>0</v>
      </c>
      <c r="D56" s="8">
        <f t="shared" si="9"/>
        <v>-10.141455352240936</v>
      </c>
      <c r="E56" s="8">
        <f t="shared" si="9"/>
        <v>-20.320359502686621</v>
      </c>
    </row>
    <row r="58" spans="1:5" x14ac:dyDescent="0.25">
      <c r="A58" s="11" t="s">
        <v>23</v>
      </c>
    </row>
    <row r="59" spans="1:5" x14ac:dyDescent="0.25">
      <c r="A59" s="2">
        <v>1</v>
      </c>
      <c r="B59" s="2">
        <v>2</v>
      </c>
      <c r="C59" s="2">
        <v>3</v>
      </c>
      <c r="D59" s="2">
        <v>4</v>
      </c>
      <c r="E59" s="2">
        <v>5</v>
      </c>
    </row>
    <row r="60" spans="1:5" x14ac:dyDescent="0.25">
      <c r="A60" s="8">
        <f>A9+$B$49-A59*$C$49</f>
        <v>9.6646851556760822</v>
      </c>
      <c r="B60" s="8">
        <f t="shared" ref="B60:E60" si="10">B9+$B$49-B59*$C$49</f>
        <v>0</v>
      </c>
      <c r="C60" s="8">
        <f t="shared" si="10"/>
        <v>-10.85232568829678</v>
      </c>
      <c r="D60" s="8">
        <f t="shared" si="10"/>
        <v>-21.789376368782477</v>
      </c>
      <c r="E60" s="8">
        <f t="shared" si="10"/>
        <v>-33.958867397466989</v>
      </c>
    </row>
    <row r="62" spans="1:5" x14ac:dyDescent="0.25">
      <c r="A62" s="11" t="s">
        <v>55</v>
      </c>
    </row>
    <row r="63" spans="1:5" x14ac:dyDescent="0.25">
      <c r="A63" s="2">
        <v>1</v>
      </c>
      <c r="B63" s="2">
        <v>2</v>
      </c>
      <c r="C63" s="2">
        <v>3</v>
      </c>
      <c r="D63" s="2">
        <v>4</v>
      </c>
      <c r="E63" s="2">
        <v>5</v>
      </c>
    </row>
    <row r="64" spans="1:5" x14ac:dyDescent="0.25">
      <c r="A64" s="8">
        <f>A13-$A$49-$B$49+(A63+1)*$C$49</f>
        <v>-20.293382648600442</v>
      </c>
      <c r="B64" s="8">
        <f t="shared" ref="B64:E64" si="11">B13-$A$49-$B$49+(B63+1)*$C$49</f>
        <v>-10.132379077012807</v>
      </c>
      <c r="C64" s="8">
        <f t="shared" si="11"/>
        <v>0</v>
      </c>
      <c r="D64" s="8">
        <f t="shared" si="11"/>
        <v>10.153394012094097</v>
      </c>
      <c r="E64" s="8">
        <f t="shared" si="11"/>
        <v>20.54361733971524</v>
      </c>
    </row>
  </sheetData>
  <conditionalFormatting sqref="A45:G45">
    <cfRule type="expression" dxfId="2" priority="3">
      <formula>$C$45&lt;&gt;""</formula>
    </cfRule>
  </conditionalFormatting>
  <conditionalFormatting sqref="H45">
    <cfRule type="expression" dxfId="1" priority="2">
      <formula>$C$45&lt;&gt;""</formula>
    </cfRule>
  </conditionalFormatting>
  <conditionalFormatting sqref="I45">
    <cfRule type="expression" dxfId="0" priority="1">
      <formula>$C$45&lt;&gt;""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B1" workbookViewId="0">
      <selection activeCell="B2" sqref="B2"/>
    </sheetView>
  </sheetViews>
  <sheetFormatPr defaultRowHeight="15" x14ac:dyDescent="0.25"/>
  <cols>
    <col min="1" max="1" width="9.7109375" hidden="1" customWidth="1"/>
    <col min="2" max="27" width="9.7109375" customWidth="1"/>
  </cols>
  <sheetData>
    <row r="1" spans="1:27" ht="18.75" x14ac:dyDescent="0.3">
      <c r="B1" s="13" t="s">
        <v>114</v>
      </c>
    </row>
    <row r="3" spans="1:27" s="21" customFormat="1" ht="17.25" x14ac:dyDescent="0.25">
      <c r="B3" s="25" t="s">
        <v>107</v>
      </c>
      <c r="E3" s="25" t="s">
        <v>111</v>
      </c>
      <c r="M3" s="25" t="s">
        <v>110</v>
      </c>
      <c r="U3" s="25" t="s">
        <v>109</v>
      </c>
    </row>
    <row r="4" spans="1:27" x14ac:dyDescent="0.25">
      <c r="A4" s="14">
        <f t="array" aca="1" ref="A4:A15" ca="1">TRANSPOSE(E18:P18)</f>
        <v>1</v>
      </c>
      <c r="B4" s="2" t="str">
        <f ca="1">"α"&amp;INDEX(SubNums,A4+1)</f>
        <v>α₁</v>
      </c>
      <c r="C4" s="8">
        <f ca="1">INDEX('(5) LogLin with Exp &amp; Dev &amp; Pay'!$A$56:$E$56,A4)</f>
        <v>20.375541917170928</v>
      </c>
      <c r="E4" s="2" t="s">
        <v>0</v>
      </c>
      <c r="F4" s="2" t="s">
        <v>13</v>
      </c>
      <c r="G4" s="2">
        <v>1</v>
      </c>
      <c r="H4" s="2">
        <v>2</v>
      </c>
      <c r="I4" s="2">
        <v>3</v>
      </c>
      <c r="J4" s="2">
        <v>4</v>
      </c>
      <c r="K4" s="2">
        <v>5</v>
      </c>
      <c r="M4" s="2" t="s">
        <v>0</v>
      </c>
      <c r="N4" s="2" t="s">
        <v>13</v>
      </c>
      <c r="O4" s="2">
        <v>1</v>
      </c>
      <c r="P4" s="2">
        <v>2</v>
      </c>
      <c r="Q4" s="2">
        <v>3</v>
      </c>
      <c r="R4" s="2">
        <v>4</v>
      </c>
      <c r="S4" s="2">
        <v>5</v>
      </c>
      <c r="U4" s="2" t="s">
        <v>0</v>
      </c>
      <c r="V4" s="2" t="s">
        <v>13</v>
      </c>
      <c r="W4" s="2">
        <v>1</v>
      </c>
      <c r="X4" s="2">
        <v>2</v>
      </c>
      <c r="Y4" s="2">
        <v>3</v>
      </c>
      <c r="Z4" s="2">
        <v>4</v>
      </c>
      <c r="AA4" s="2">
        <v>5</v>
      </c>
    </row>
    <row r="5" spans="1:27" x14ac:dyDescent="0.25">
      <c r="A5" s="14">
        <f ca="1"/>
        <v>2</v>
      </c>
      <c r="B5" s="2" t="str">
        <f ca="1">"α"&amp;INDEX(SubNums,A5+1)</f>
        <v>α₂</v>
      </c>
      <c r="C5" s="8">
        <f ca="1">INDEX('(5) LogLin with Exp &amp; Dev &amp; Pay'!$A$56:$E$56,A5)</f>
        <v>10.061477132562167</v>
      </c>
      <c r="E5" s="2" t="s">
        <v>14</v>
      </c>
      <c r="F5" s="3"/>
      <c r="G5" s="3"/>
      <c r="H5" s="3"/>
      <c r="I5" s="3"/>
      <c r="J5" s="3"/>
      <c r="K5" s="3"/>
      <c r="M5" s="2" t="s">
        <v>14</v>
      </c>
      <c r="N5" s="3"/>
      <c r="O5" s="3"/>
      <c r="P5" s="3"/>
      <c r="Q5" s="3"/>
      <c r="R5" s="3"/>
      <c r="S5" s="3"/>
      <c r="U5" s="2" t="s">
        <v>14</v>
      </c>
      <c r="V5" s="3"/>
      <c r="W5" s="3"/>
      <c r="X5" s="3"/>
      <c r="Y5" s="3"/>
      <c r="Z5" s="3"/>
      <c r="AA5" s="3"/>
    </row>
    <row r="6" spans="1:27" x14ac:dyDescent="0.25">
      <c r="A6" s="14">
        <f ca="1"/>
        <v>4</v>
      </c>
      <c r="B6" s="2" t="str">
        <f ca="1">"α"&amp;INDEX(SubNums,A6+1)</f>
        <v>α₄</v>
      </c>
      <c r="C6" s="8">
        <f ca="1">INDEX('(5) LogLin with Exp &amp; Dev &amp; Pay'!$A$56:$E$56,A6)</f>
        <v>-10.141455352240936</v>
      </c>
      <c r="E6" s="2">
        <v>1</v>
      </c>
      <c r="F6" s="3"/>
      <c r="G6" s="8">
        <f ca="1">IF(W6&lt;&gt;"",INDEX($S$20:$S$34,W6),"")</f>
        <v>17100.182659000024</v>
      </c>
      <c r="H6" s="8">
        <f ca="1">IF(X6&lt;&gt;"",INDEX($S$20:$S$34,X6),"")</f>
        <v>28089.829214999845</v>
      </c>
      <c r="I6" s="8">
        <f ca="1">IF(Y6&lt;&gt;"",INDEX($S$20:$S$34,Y6),"")</f>
        <v>13673.517731999935</v>
      </c>
      <c r="J6" s="8">
        <f ca="1">IF(Z6&lt;&gt;"",INDEX($S$20:$S$34,Z6),"")</f>
        <v>6245.1444980000042</v>
      </c>
      <c r="K6" s="8">
        <f ca="1">IF(AA6&lt;&gt;"",INDEX($S$20:$S$34,AA6),"")</f>
        <v>1053.9411149999951</v>
      </c>
      <c r="M6" s="2">
        <v>1</v>
      </c>
      <c r="N6" s="3"/>
      <c r="O6" s="8">
        <f ca="1">'(4) Mult with Exp &amp; Dev &amp; Pay'!I6-G6</f>
        <v>0</v>
      </c>
      <c r="P6" s="8">
        <f ca="1">'(4) Mult with Exp &amp; Dev &amp; Pay'!J6-H6</f>
        <v>1.5643308870494366E-10</v>
      </c>
      <c r="Q6" s="8">
        <f ca="1">'(4) Mult with Exp &amp; Dev &amp; Pay'!K6-I6</f>
        <v>6.5483618527650833E-11</v>
      </c>
      <c r="R6" s="8">
        <f ca="1">'(4) Mult with Exp &amp; Dev &amp; Pay'!L6-J6</f>
        <v>0</v>
      </c>
      <c r="S6" s="8">
        <f ca="1">'(4) Mult with Exp &amp; Dev &amp; Pay'!M6-K6</f>
        <v>5.0022208597511053E-12</v>
      </c>
      <c r="U6" s="2">
        <v>1</v>
      </c>
      <c r="V6" s="3"/>
      <c r="W6" s="24">
        <f>IFERROR(MATCH(TEXT($U6,"#")&amp;"-"&amp;TEXT(W$4,"#"),$A$20:$A$34,0),"")</f>
        <v>1</v>
      </c>
      <c r="X6" s="24">
        <f>IFERROR(MATCH(TEXT($U6,"#")&amp;"-"&amp;TEXT(X$4,"#"),$A$20:$A$34,0),"")</f>
        <v>2</v>
      </c>
      <c r="Y6" s="24">
        <f>IFERROR(MATCH(TEXT($U6,"#")&amp;"-"&amp;TEXT(Y$4,"#"),$A$20:$A$34,0),"")</f>
        <v>3</v>
      </c>
      <c r="Z6" s="24">
        <f>IFERROR(MATCH(TEXT($U6,"#")&amp;"-"&amp;TEXT(Z$4,"#"),$A$20:$A$34,0),"")</f>
        <v>4</v>
      </c>
      <c r="AA6" s="24">
        <f>IFERROR(MATCH(TEXT($U6,"#")&amp;"-"&amp;TEXT(AA$4,"#"),$A$20:$A$34,0),"")</f>
        <v>5</v>
      </c>
    </row>
    <row r="7" spans="1:27" x14ac:dyDescent="0.25">
      <c r="A7" s="14">
        <f ca="1"/>
        <v>5</v>
      </c>
      <c r="B7" s="2" t="str">
        <f ca="1">"α"&amp;INDEX(SubNums,A7+1)</f>
        <v>α₅</v>
      </c>
      <c r="C7" s="8">
        <f ca="1">INDEX('(5) LogLin with Exp &amp; Dev &amp; Pay'!$A$56:$E$56,A7)</f>
        <v>-20.320359502686621</v>
      </c>
      <c r="E7" s="2">
        <v>2</v>
      </c>
      <c r="F7" s="3"/>
      <c r="G7" s="8">
        <f ca="1">IF(W7&lt;&gt;"",INDEX($S$20:$S$34,W7),"")</f>
        <v>14673.276764999924</v>
      </c>
      <c r="H7" s="8">
        <f ca="1">IF(X7&lt;&gt;"",INDEX($S$20:$S$34,X7),"")</f>
        <v>23423.079824999943</v>
      </c>
      <c r="I7" s="8">
        <f ca="1">IF(Y7&lt;&gt;"",INDEX($S$20:$S$34,Y7),"")</f>
        <v>11643.990119999984</v>
      </c>
      <c r="J7" s="8">
        <f ca="1">IF(Z7&lt;&gt;"",INDEX($S$20:$S$34,Z7),"")</f>
        <v>6739.3455749999957</v>
      </c>
      <c r="K7" s="9"/>
      <c r="M7" s="2">
        <v>2</v>
      </c>
      <c r="N7" s="3"/>
      <c r="O7" s="8">
        <f ca="1">'(4) Mult with Exp &amp; Dev &amp; Pay'!I7-G7</f>
        <v>7.4578565545380116E-11</v>
      </c>
      <c r="P7" s="8">
        <f ca="1">'(4) Mult with Exp &amp; Dev &amp; Pay'!J7-H7</f>
        <v>5.8207660913467407E-11</v>
      </c>
      <c r="Q7" s="8">
        <f ca="1">'(4) Mult with Exp &amp; Dev &amp; Pay'!K7-I7</f>
        <v>1.6370904631912708E-11</v>
      </c>
      <c r="R7" s="8">
        <f ca="1">'(4) Mult with Exp &amp; Dev &amp; Pay'!L7-J7</f>
        <v>0</v>
      </c>
      <c r="S7" s="9"/>
      <c r="U7" s="2">
        <v>2</v>
      </c>
      <c r="V7" s="3"/>
      <c r="W7" s="24">
        <f>IFERROR(MATCH(TEXT($U7,"#")&amp;"-"&amp;TEXT(W$4,"#"),$A$20:$A$34,0),"")</f>
        <v>6</v>
      </c>
      <c r="X7" s="24">
        <f>IFERROR(MATCH(TEXT($U7,"#")&amp;"-"&amp;TEXT(X$4,"#"),$A$20:$A$34,0),"")</f>
        <v>7</v>
      </c>
      <c r="Y7" s="24">
        <f>IFERROR(MATCH(TEXT($U7,"#")&amp;"-"&amp;TEXT(Y$4,"#"),$A$20:$A$34,0),"")</f>
        <v>8</v>
      </c>
      <c r="Z7" s="24">
        <f>IFERROR(MATCH(TEXT($U7,"#")&amp;"-"&amp;TEXT(Z$4,"#"),$A$20:$A$34,0),"")</f>
        <v>9</v>
      </c>
      <c r="AA7" s="1"/>
    </row>
    <row r="8" spans="1:27" x14ac:dyDescent="0.25">
      <c r="A8" s="14">
        <f ca="1"/>
        <v>1</v>
      </c>
      <c r="B8" s="2" t="str">
        <f ca="1">"β"&amp;INDEX(SubNums,A8+1)</f>
        <v>β₁</v>
      </c>
      <c r="C8" s="8">
        <f ca="1">INDEX('(5) LogLin with Exp &amp; Dev &amp; Pay'!$A$60:$E$60,A8)</f>
        <v>9.6646851556760822</v>
      </c>
      <c r="E8" s="2">
        <v>3</v>
      </c>
      <c r="F8" s="3"/>
      <c r="G8" s="8">
        <f ca="1">IF(W8&lt;&gt;"",INDEX($S$20:$S$34,W8),"")</f>
        <v>15751.409867999977</v>
      </c>
      <c r="H8" s="8">
        <f ca="1">IF(X8&lt;&gt;"",INDEX($S$20:$S$34,X8),"")</f>
        <v>25678.10628000004</v>
      </c>
      <c r="I8" s="8">
        <f ca="1">IF(Y8&lt;&gt;"",INDEX($S$20:$S$34,Y8),"")</f>
        <v>16176.124719999969</v>
      </c>
      <c r="J8" s="9"/>
      <c r="K8" s="9"/>
      <c r="M8" s="2">
        <v>3</v>
      </c>
      <c r="N8" s="3"/>
      <c r="O8" s="8">
        <f ca="1">'(4) Mult with Exp &amp; Dev &amp; Pay'!I8-G8</f>
        <v>2.3646862246096134E-11</v>
      </c>
      <c r="P8" s="8">
        <f ca="1">'(4) Mult with Exp &amp; Dev &amp; Pay'!J8-H8</f>
        <v>-4.0017766878008842E-11</v>
      </c>
      <c r="Q8" s="8">
        <f ca="1">'(4) Mult with Exp &amp; Dev &amp; Pay'!K8-I8</f>
        <v>3.092281986027956E-11</v>
      </c>
      <c r="R8" s="9"/>
      <c r="S8" s="9"/>
      <c r="U8" s="2">
        <v>3</v>
      </c>
      <c r="V8" s="3"/>
      <c r="W8" s="24">
        <f>IFERROR(MATCH(TEXT($U8,"#")&amp;"-"&amp;TEXT(W$4,"#"),$A$20:$A$34,0),"")</f>
        <v>10</v>
      </c>
      <c r="X8" s="24">
        <f>IFERROR(MATCH(TEXT($U8,"#")&amp;"-"&amp;TEXT(X$4,"#"),$A$20:$A$34,0),"")</f>
        <v>11</v>
      </c>
      <c r="Y8" s="24">
        <f>IFERROR(MATCH(TEXT($U8,"#")&amp;"-"&amp;TEXT(Y$4,"#"),$A$20:$A$34,0),"")</f>
        <v>12</v>
      </c>
      <c r="Z8" s="1"/>
      <c r="AA8" s="1"/>
    </row>
    <row r="9" spans="1:27" x14ac:dyDescent="0.25">
      <c r="A9" s="14">
        <f ca="1"/>
        <v>3</v>
      </c>
      <c r="B9" s="2" t="str">
        <f ca="1">"β"&amp;INDEX(SubNums,A9+1)</f>
        <v>β₃</v>
      </c>
      <c r="C9" s="8">
        <f ca="1">INDEX('(5) LogLin with Exp &amp; Dev &amp; Pay'!$A$60:$E$60,A9)</f>
        <v>-10.85232568829678</v>
      </c>
      <c r="E9" s="2">
        <v>4</v>
      </c>
      <c r="F9" s="3"/>
      <c r="G9" s="8">
        <f ca="1">IF(W9&lt;&gt;"",INDEX($S$20:$S$34,W9),"")</f>
        <v>15940.587610000019</v>
      </c>
      <c r="H9" s="8">
        <f ca="1">IF(X9&lt;&gt;"",INDEX($S$20:$S$34,X9),"")</f>
        <v>32930.744624999985</v>
      </c>
      <c r="I9" s="9"/>
      <c r="J9" s="9"/>
      <c r="K9" s="9"/>
      <c r="M9" s="2">
        <v>4</v>
      </c>
      <c r="N9" s="3"/>
      <c r="O9" s="8">
        <f ca="1">'(4) Mult with Exp &amp; Dev &amp; Pay'!I9-G9</f>
        <v>-1.8189894035458565E-11</v>
      </c>
      <c r="P9" s="8">
        <f ca="1">'(4) Mult with Exp &amp; Dev &amp; Pay'!J9-H9</f>
        <v>0</v>
      </c>
      <c r="Q9" s="9"/>
      <c r="R9" s="9"/>
      <c r="S9" s="9"/>
      <c r="U9" s="2">
        <v>4</v>
      </c>
      <c r="V9" s="3"/>
      <c r="W9" s="24">
        <f>IFERROR(MATCH(TEXT($U9,"#")&amp;"-"&amp;TEXT(W$4,"#"),$A$20:$A$34,0),"")</f>
        <v>13</v>
      </c>
      <c r="X9" s="24">
        <f>IFERROR(MATCH(TEXT($U9,"#")&amp;"-"&amp;TEXT(X$4,"#"),$A$20:$A$34,0),"")</f>
        <v>14</v>
      </c>
      <c r="Y9" s="1"/>
      <c r="Z9" s="1"/>
      <c r="AA9" s="1"/>
    </row>
    <row r="10" spans="1:27" x14ac:dyDescent="0.25">
      <c r="A10" s="14">
        <f ca="1"/>
        <v>4</v>
      </c>
      <c r="B10" s="2" t="str">
        <f ca="1">"β"&amp;INDEX(SubNums,A10+1)</f>
        <v>β₄</v>
      </c>
      <c r="C10" s="8">
        <f ca="1">INDEX('(5) LogLin with Exp &amp; Dev &amp; Pay'!$A$60:$E$60,A10)</f>
        <v>-21.789376368782477</v>
      </c>
      <c r="E10" s="2">
        <v>5</v>
      </c>
      <c r="F10" s="3"/>
      <c r="G10" s="8">
        <f ca="1">IF(W10&lt;&gt;"",INDEX($S$20:$S$34,W10),"")</f>
        <v>19691.512664999958</v>
      </c>
      <c r="H10" s="9"/>
      <c r="I10" s="9"/>
      <c r="J10" s="9"/>
      <c r="K10" s="9"/>
      <c r="M10" s="2">
        <v>5</v>
      </c>
      <c r="N10" s="3"/>
      <c r="O10" s="8">
        <f ca="1">'(4) Mult with Exp &amp; Dev &amp; Pay'!I10-G10</f>
        <v>4.3655745685100555E-11</v>
      </c>
      <c r="P10" s="9"/>
      <c r="Q10" s="9"/>
      <c r="R10" s="9"/>
      <c r="S10" s="9"/>
      <c r="U10" s="2">
        <v>5</v>
      </c>
      <c r="V10" s="3"/>
      <c r="W10" s="24">
        <f>IFERROR(MATCH(TEXT($U10,"#")&amp;"-"&amp;TEXT(W$4,"#"),$A$20:$A$34,0),"")</f>
        <v>15</v>
      </c>
      <c r="X10" s="1"/>
      <c r="Y10" s="1"/>
      <c r="Z10" s="1"/>
      <c r="AA10" s="1"/>
    </row>
    <row r="11" spans="1:27" x14ac:dyDescent="0.25">
      <c r="A11" s="14">
        <f ca="1"/>
        <v>5</v>
      </c>
      <c r="B11" s="2" t="str">
        <f ca="1">"β"&amp;INDEX(SubNums,A11+1)</f>
        <v>β₅</v>
      </c>
      <c r="C11" s="8">
        <f ca="1">INDEX('(5) LogLin with Exp &amp; Dev &amp; Pay'!$A$60:$E$60,A11)</f>
        <v>-33.958867397466989</v>
      </c>
    </row>
    <row r="12" spans="1:27" x14ac:dyDescent="0.25">
      <c r="A12" s="14">
        <f ca="1"/>
        <v>1</v>
      </c>
      <c r="B12" s="2" t="str">
        <f ca="1">"γ"&amp;INDEX(SubNums,A12+1)</f>
        <v>γ₁</v>
      </c>
      <c r="C12" s="8">
        <f ca="1">INDEX('(5) LogLin with Exp &amp; Dev &amp; Pay'!$A$64:$E$64,A12)</f>
        <v>-20.293382648600442</v>
      </c>
    </row>
    <row r="13" spans="1:27" x14ac:dyDescent="0.25">
      <c r="A13" s="14">
        <f ca="1"/>
        <v>2</v>
      </c>
      <c r="B13" s="2" t="str">
        <f ca="1">"γ"&amp;INDEX(SubNums,A13+1)</f>
        <v>γ₂</v>
      </c>
      <c r="C13" s="8">
        <f ca="1">INDEX('(5) LogLin with Exp &amp; Dev &amp; Pay'!$A$64:$E$64,A13)</f>
        <v>-10.132379077012807</v>
      </c>
      <c r="E13" s="6"/>
    </row>
    <row r="14" spans="1:27" x14ac:dyDescent="0.25">
      <c r="A14" s="14">
        <f ca="1"/>
        <v>4</v>
      </c>
      <c r="B14" s="2" t="str">
        <f ca="1">"γ"&amp;INDEX(SubNums,A14+1)</f>
        <v>γ₄</v>
      </c>
      <c r="C14" s="8">
        <f ca="1">INDEX('(5) LogLin with Exp &amp; Dev &amp; Pay'!$A$64:$E$64,A14)</f>
        <v>10.153394012094097</v>
      </c>
    </row>
    <row r="15" spans="1:27" x14ac:dyDescent="0.25">
      <c r="A15" s="14">
        <f ca="1"/>
        <v>5</v>
      </c>
      <c r="B15" s="2" t="str">
        <f ca="1">"γ"&amp;INDEX(SubNums,A15+1)</f>
        <v>γ₅</v>
      </c>
      <c r="C15" s="8">
        <f ca="1">INDEX('(5) LogLin with Exp &amp; Dev &amp; Pay'!$A$64:$E$64,A15)</f>
        <v>20.54361733971524</v>
      </c>
    </row>
    <row r="17" spans="1:19" x14ac:dyDescent="0.25">
      <c r="B17" s="11" t="s">
        <v>103</v>
      </c>
      <c r="E17" s="11" t="s">
        <v>108</v>
      </c>
      <c r="R17" s="11" t="s">
        <v>106</v>
      </c>
    </row>
    <row r="18" spans="1:19" hidden="1" x14ac:dyDescent="0.25">
      <c r="B18" s="11"/>
      <c r="E18" s="20">
        <f ca="1">OFFSET('(5) LogLin with Exp &amp; Dev &amp; Pay'!A55,0,IF('(5) LogLin with Exp &amp; Dev &amp; Pay'!A55&gt;='(5) LogLin with Exp &amp; Dev &amp; Pay'!$A$42,1,0))</f>
        <v>1</v>
      </c>
      <c r="F18" s="20">
        <f ca="1">OFFSET('(5) LogLin with Exp &amp; Dev &amp; Pay'!B55,0,IF('(5) LogLin with Exp &amp; Dev &amp; Pay'!B55&gt;='(5) LogLin with Exp &amp; Dev &amp; Pay'!$A$42,1,0))</f>
        <v>2</v>
      </c>
      <c r="G18" s="20">
        <f ca="1">OFFSET('(5) LogLin with Exp &amp; Dev &amp; Pay'!C55,0,IF('(5) LogLin with Exp &amp; Dev &amp; Pay'!C55&gt;='(5) LogLin with Exp &amp; Dev &amp; Pay'!$A$42,1,0))</f>
        <v>4</v>
      </c>
      <c r="H18" s="20">
        <f ca="1">OFFSET('(5) LogLin with Exp &amp; Dev &amp; Pay'!D55,0,IF('(5) LogLin with Exp &amp; Dev &amp; Pay'!D55&gt;='(5) LogLin with Exp &amp; Dev &amp; Pay'!$A$42,1,0))</f>
        <v>5</v>
      </c>
      <c r="I18" s="20">
        <f ca="1">OFFSET('(5) LogLin with Exp &amp; Dev &amp; Pay'!A59,0,IF('(5) LogLin with Exp &amp; Dev &amp; Pay'!A59&gt;='(5) LogLin with Exp &amp; Dev &amp; Pay'!$A$43,1,0))</f>
        <v>1</v>
      </c>
      <c r="J18" s="20">
        <f ca="1">OFFSET('(5) LogLin with Exp &amp; Dev &amp; Pay'!B59,0,IF('(5) LogLin with Exp &amp; Dev &amp; Pay'!B59&gt;='(5) LogLin with Exp &amp; Dev &amp; Pay'!$A$43,1,0))</f>
        <v>3</v>
      </c>
      <c r="K18" s="20">
        <f ca="1">OFFSET('(5) LogLin with Exp &amp; Dev &amp; Pay'!C59,0,IF('(5) LogLin with Exp &amp; Dev &amp; Pay'!C59&gt;='(5) LogLin with Exp &amp; Dev &amp; Pay'!$A$43,1,0))</f>
        <v>4</v>
      </c>
      <c r="L18" s="20">
        <f ca="1">OFFSET('(5) LogLin with Exp &amp; Dev &amp; Pay'!D59,0,IF('(5) LogLin with Exp &amp; Dev &amp; Pay'!D59&gt;='(5) LogLin with Exp &amp; Dev &amp; Pay'!$A$43,1,0))</f>
        <v>5</v>
      </c>
      <c r="M18" s="20">
        <f ca="1">OFFSET('(5) LogLin with Exp &amp; Dev &amp; Pay'!A63,0,IF('(5) LogLin with Exp &amp; Dev &amp; Pay'!A63&gt;='(5) LogLin with Exp &amp; Dev &amp; Pay'!$A$44,1,0))</f>
        <v>1</v>
      </c>
      <c r="N18" s="20">
        <f ca="1">OFFSET('(5) LogLin with Exp &amp; Dev &amp; Pay'!B63,0,IF('(5) LogLin with Exp &amp; Dev &amp; Pay'!B63&gt;='(5) LogLin with Exp &amp; Dev &amp; Pay'!$A$44,1,0))</f>
        <v>2</v>
      </c>
      <c r="O18" s="20">
        <f ca="1">OFFSET('(5) LogLin with Exp &amp; Dev &amp; Pay'!C63,0,IF('(5) LogLin with Exp &amp; Dev &amp; Pay'!C63&gt;='(5) LogLin with Exp &amp; Dev &amp; Pay'!$A$44,1,0))</f>
        <v>4</v>
      </c>
      <c r="P18" s="20">
        <f ca="1">OFFSET('(5) LogLin with Exp &amp; Dev &amp; Pay'!D63,0,IF('(5) LogLin with Exp &amp; Dev &amp; Pay'!D63&gt;='(5) LogLin with Exp &amp; Dev &amp; Pay'!$A$44,1,0))</f>
        <v>5</v>
      </c>
    </row>
    <row r="19" spans="1:19" ht="17.25" x14ac:dyDescent="0.25">
      <c r="B19" s="19" t="s">
        <v>104</v>
      </c>
      <c r="C19" s="19" t="s">
        <v>105</v>
      </c>
      <c r="D19" s="14"/>
      <c r="E19" s="19" t="str">
        <f t="array" aca="1" ref="E19:P19" ca="1">TRANSPOSE(B4:B15)</f>
        <v>α₁</v>
      </c>
      <c r="F19" s="19" t="str">
        <f ca="1"/>
        <v>α₂</v>
      </c>
      <c r="G19" s="19" t="str">
        <f ca="1"/>
        <v>α₄</v>
      </c>
      <c r="H19" s="19" t="str">
        <f ca="1"/>
        <v>α₅</v>
      </c>
      <c r="I19" s="19" t="str">
        <f ca="1"/>
        <v>β₁</v>
      </c>
      <c r="J19" s="19" t="str">
        <f ca="1"/>
        <v>β₃</v>
      </c>
      <c r="K19" s="19" t="str">
        <f ca="1"/>
        <v>β₄</v>
      </c>
      <c r="L19" s="19" t="str">
        <f ca="1"/>
        <v>β₅</v>
      </c>
      <c r="M19" s="19" t="str">
        <f ca="1"/>
        <v>γ₁</v>
      </c>
      <c r="N19" s="19" t="str">
        <f ca="1"/>
        <v>γ₂</v>
      </c>
      <c r="O19" s="19" t="str">
        <f ca="1"/>
        <v>γ₄</v>
      </c>
      <c r="P19" s="19" t="str">
        <f ca="1"/>
        <v>γ₅</v>
      </c>
      <c r="R19" s="19" t="s">
        <v>113</v>
      </c>
      <c r="S19" s="19" t="s">
        <v>112</v>
      </c>
    </row>
    <row r="20" spans="1:19" x14ac:dyDescent="0.25">
      <c r="A20" s="14" t="str">
        <f>TEXT(B20,"#")&amp;"-"&amp;TEXT(C20,"#")</f>
        <v>1-1</v>
      </c>
      <c r="B20" s="23">
        <v>1</v>
      </c>
      <c r="C20" s="23">
        <v>1</v>
      </c>
      <c r="E20" s="23">
        <f ca="1">IF($B20=E$18,1,0)</f>
        <v>1</v>
      </c>
      <c r="F20" s="23">
        <f t="shared" ref="F20:H34" ca="1" si="0">IF($B20=F$18,1,0)</f>
        <v>0</v>
      </c>
      <c r="G20" s="23">
        <f t="shared" ca="1" si="0"/>
        <v>0</v>
      </c>
      <c r="H20" s="23">
        <f t="shared" ca="1" si="0"/>
        <v>0</v>
      </c>
      <c r="I20" s="23">
        <f ca="1">IF($C20=I$18,1,0)</f>
        <v>1</v>
      </c>
      <c r="J20" s="23">
        <f t="shared" ref="J20:L34" ca="1" si="1">IF($C20=J$18,1,0)</f>
        <v>0</v>
      </c>
      <c r="K20" s="23">
        <f t="shared" ca="1" si="1"/>
        <v>0</v>
      </c>
      <c r="L20" s="23">
        <f t="shared" ca="1" si="1"/>
        <v>0</v>
      </c>
      <c r="M20" s="23">
        <f ca="1">IF($B20+$C20-1=M$18,1,0)</f>
        <v>1</v>
      </c>
      <c r="N20" s="23">
        <f t="shared" ref="N20:P34" ca="1" si="2">IF($B20+$C20-1=N$18,1,0)</f>
        <v>0</v>
      </c>
      <c r="O20" s="23">
        <f t="shared" ca="1" si="2"/>
        <v>0</v>
      </c>
      <c r="P20" s="23">
        <f t="shared" ca="1" si="2"/>
        <v>0</v>
      </c>
      <c r="R20" s="8">
        <f t="array" aca="1" ref="R20:R34" ca="1">MMULT(E20:P34,C4:C15)</f>
        <v>9.7468444242465679</v>
      </c>
      <c r="S20" s="8">
        <f ca="1">EXP(R20)</f>
        <v>17100.182659000024</v>
      </c>
    </row>
    <row r="21" spans="1:19" x14ac:dyDescent="0.25">
      <c r="A21" s="14" t="str">
        <f t="shared" ref="A21:A34" si="3">TEXT(B21,"#")&amp;"-"&amp;TEXT(C21,"#")</f>
        <v>1-2</v>
      </c>
      <c r="B21" s="23">
        <f>B20+IF(B20+C20=6,1,0)</f>
        <v>1</v>
      </c>
      <c r="C21" s="23">
        <f>IF(B20=B21,C20+1,1)</f>
        <v>2</v>
      </c>
      <c r="E21" s="23">
        <f t="shared" ref="E21:E34" ca="1" si="4">IF($B21=E$18,1,0)</f>
        <v>1</v>
      </c>
      <c r="F21" s="23">
        <f t="shared" ca="1" si="0"/>
        <v>0</v>
      </c>
      <c r="G21" s="23">
        <f t="shared" ca="1" si="0"/>
        <v>0</v>
      </c>
      <c r="H21" s="23">
        <f t="shared" ca="1" si="0"/>
        <v>0</v>
      </c>
      <c r="I21" s="23">
        <f t="shared" ref="I21:I34" ca="1" si="5">IF($C21=I$18,1,0)</f>
        <v>0</v>
      </c>
      <c r="J21" s="23">
        <f t="shared" ca="1" si="1"/>
        <v>0</v>
      </c>
      <c r="K21" s="23">
        <f t="shared" ca="1" si="1"/>
        <v>0</v>
      </c>
      <c r="L21" s="23">
        <f t="shared" ca="1" si="1"/>
        <v>0</v>
      </c>
      <c r="M21" s="23">
        <f t="shared" ref="M21:M34" ca="1" si="6">IF($B21+$C21-1=M$18,1,0)</f>
        <v>0</v>
      </c>
      <c r="N21" s="23">
        <f t="shared" ca="1" si="2"/>
        <v>1</v>
      </c>
      <c r="O21" s="23">
        <f t="shared" ca="1" si="2"/>
        <v>0</v>
      </c>
      <c r="P21" s="23">
        <f t="shared" ca="1" si="2"/>
        <v>0</v>
      </c>
      <c r="R21" s="8">
        <f ca="1"/>
        <v>10.243162840158121</v>
      </c>
      <c r="S21" s="8">
        <f t="shared" ref="S21:S34" ca="1" si="7">EXP(R21)</f>
        <v>28089.829214999845</v>
      </c>
    </row>
    <row r="22" spans="1:19" x14ac:dyDescent="0.25">
      <c r="A22" s="14" t="str">
        <f t="shared" si="3"/>
        <v>1-3</v>
      </c>
      <c r="B22" s="23">
        <f t="shared" ref="B22:B34" si="8">B21+IF(B21+C21=6,1,0)</f>
        <v>1</v>
      </c>
      <c r="C22" s="23">
        <f t="shared" ref="C22:C34" si="9">IF(B21=B22,C21+1,1)</f>
        <v>3</v>
      </c>
      <c r="E22" s="23">
        <f t="shared" ca="1" si="4"/>
        <v>1</v>
      </c>
      <c r="F22" s="23">
        <f t="shared" ca="1" si="0"/>
        <v>0</v>
      </c>
      <c r="G22" s="23">
        <f t="shared" ca="1" si="0"/>
        <v>0</v>
      </c>
      <c r="H22" s="23">
        <f t="shared" ca="1" si="0"/>
        <v>0</v>
      </c>
      <c r="I22" s="23">
        <f t="shared" ca="1" si="5"/>
        <v>0</v>
      </c>
      <c r="J22" s="23">
        <f t="shared" ca="1" si="1"/>
        <v>1</v>
      </c>
      <c r="K22" s="23">
        <f t="shared" ca="1" si="1"/>
        <v>0</v>
      </c>
      <c r="L22" s="23">
        <f t="shared" ca="1" si="1"/>
        <v>0</v>
      </c>
      <c r="M22" s="23">
        <f t="shared" ca="1" si="6"/>
        <v>0</v>
      </c>
      <c r="N22" s="23">
        <f t="shared" ca="1" si="2"/>
        <v>0</v>
      </c>
      <c r="O22" s="23">
        <f t="shared" ca="1" si="2"/>
        <v>0</v>
      </c>
      <c r="P22" s="23">
        <f t="shared" ca="1" si="2"/>
        <v>0</v>
      </c>
      <c r="R22" s="8">
        <f ca="1"/>
        <v>9.5232162288741478</v>
      </c>
      <c r="S22" s="8">
        <f t="shared" ca="1" si="7"/>
        <v>13673.517731999935</v>
      </c>
    </row>
    <row r="23" spans="1:19" x14ac:dyDescent="0.25">
      <c r="A23" s="14" t="str">
        <f t="shared" si="3"/>
        <v>1-4</v>
      </c>
      <c r="B23" s="23">
        <f t="shared" si="8"/>
        <v>1</v>
      </c>
      <c r="C23" s="23">
        <f t="shared" si="9"/>
        <v>4</v>
      </c>
      <c r="E23" s="23">
        <f t="shared" ca="1" si="4"/>
        <v>1</v>
      </c>
      <c r="F23" s="23">
        <f t="shared" ca="1" si="0"/>
        <v>0</v>
      </c>
      <c r="G23" s="23">
        <f t="shared" ca="1" si="0"/>
        <v>0</v>
      </c>
      <c r="H23" s="23">
        <f t="shared" ca="1" si="0"/>
        <v>0</v>
      </c>
      <c r="I23" s="23">
        <f t="shared" ca="1" si="5"/>
        <v>0</v>
      </c>
      <c r="J23" s="23">
        <f t="shared" ca="1" si="1"/>
        <v>0</v>
      </c>
      <c r="K23" s="23">
        <f t="shared" ca="1" si="1"/>
        <v>1</v>
      </c>
      <c r="L23" s="23">
        <f t="shared" ca="1" si="1"/>
        <v>0</v>
      </c>
      <c r="M23" s="23">
        <f t="shared" ca="1" si="6"/>
        <v>0</v>
      </c>
      <c r="N23" s="23">
        <f t="shared" ca="1" si="2"/>
        <v>0</v>
      </c>
      <c r="O23" s="23">
        <f t="shared" ca="1" si="2"/>
        <v>1</v>
      </c>
      <c r="P23" s="23">
        <f t="shared" ca="1" si="2"/>
        <v>0</v>
      </c>
      <c r="R23" s="8">
        <f ca="1"/>
        <v>8.7395595604825473</v>
      </c>
      <c r="S23" s="8">
        <f t="shared" ca="1" si="7"/>
        <v>6245.1444980000042</v>
      </c>
    </row>
    <row r="24" spans="1:19" x14ac:dyDescent="0.25">
      <c r="A24" s="14" t="str">
        <f t="shared" si="3"/>
        <v>1-5</v>
      </c>
      <c r="B24" s="23">
        <f t="shared" si="8"/>
        <v>1</v>
      </c>
      <c r="C24" s="23">
        <f t="shared" si="9"/>
        <v>5</v>
      </c>
      <c r="E24" s="23">
        <f t="shared" ca="1" si="4"/>
        <v>1</v>
      </c>
      <c r="F24" s="23">
        <f t="shared" ca="1" si="0"/>
        <v>0</v>
      </c>
      <c r="G24" s="23">
        <f t="shared" ca="1" si="0"/>
        <v>0</v>
      </c>
      <c r="H24" s="23">
        <f t="shared" ca="1" si="0"/>
        <v>0</v>
      </c>
      <c r="I24" s="23">
        <f t="shared" ca="1" si="5"/>
        <v>0</v>
      </c>
      <c r="J24" s="23">
        <f t="shared" ca="1" si="1"/>
        <v>0</v>
      </c>
      <c r="K24" s="23">
        <f t="shared" ca="1" si="1"/>
        <v>0</v>
      </c>
      <c r="L24" s="23">
        <f t="shared" ca="1" si="1"/>
        <v>1</v>
      </c>
      <c r="M24" s="23">
        <f t="shared" ca="1" si="6"/>
        <v>0</v>
      </c>
      <c r="N24" s="23">
        <f t="shared" ca="1" si="2"/>
        <v>0</v>
      </c>
      <c r="O24" s="23">
        <f t="shared" ca="1" si="2"/>
        <v>0</v>
      </c>
      <c r="P24" s="23">
        <f t="shared" ca="1" si="2"/>
        <v>1</v>
      </c>
      <c r="R24" s="8">
        <f ca="1"/>
        <v>6.9602918594191792</v>
      </c>
      <c r="S24" s="8">
        <f t="shared" ca="1" si="7"/>
        <v>1053.9411149999951</v>
      </c>
    </row>
    <row r="25" spans="1:19" x14ac:dyDescent="0.25">
      <c r="A25" s="14" t="str">
        <f t="shared" si="3"/>
        <v>2-1</v>
      </c>
      <c r="B25" s="23">
        <f t="shared" si="8"/>
        <v>2</v>
      </c>
      <c r="C25" s="23">
        <f t="shared" si="9"/>
        <v>1</v>
      </c>
      <c r="E25" s="23">
        <f t="shared" ca="1" si="4"/>
        <v>0</v>
      </c>
      <c r="F25" s="23">
        <f t="shared" ca="1" si="0"/>
        <v>1</v>
      </c>
      <c r="G25" s="23">
        <f t="shared" ca="1" si="0"/>
        <v>0</v>
      </c>
      <c r="H25" s="23">
        <f t="shared" ca="1" si="0"/>
        <v>0</v>
      </c>
      <c r="I25" s="23">
        <f t="shared" ca="1" si="5"/>
        <v>1</v>
      </c>
      <c r="J25" s="23">
        <f t="shared" ca="1" si="1"/>
        <v>0</v>
      </c>
      <c r="K25" s="23">
        <f t="shared" ca="1" si="1"/>
        <v>0</v>
      </c>
      <c r="L25" s="23">
        <f t="shared" ca="1" si="1"/>
        <v>0</v>
      </c>
      <c r="M25" s="23">
        <f t="shared" ca="1" si="6"/>
        <v>0</v>
      </c>
      <c r="N25" s="23">
        <f t="shared" ca="1" si="2"/>
        <v>1</v>
      </c>
      <c r="O25" s="23">
        <f t="shared" ca="1" si="2"/>
        <v>0</v>
      </c>
      <c r="P25" s="23">
        <f t="shared" ca="1" si="2"/>
        <v>0</v>
      </c>
      <c r="R25" s="8">
        <f ca="1"/>
        <v>9.5937832112254426</v>
      </c>
      <c r="S25" s="8">
        <f t="shared" ca="1" si="7"/>
        <v>14673.276764999924</v>
      </c>
    </row>
    <row r="26" spans="1:19" x14ac:dyDescent="0.25">
      <c r="A26" s="14" t="str">
        <f t="shared" si="3"/>
        <v>2-2</v>
      </c>
      <c r="B26" s="23">
        <f t="shared" si="8"/>
        <v>2</v>
      </c>
      <c r="C26" s="23">
        <f t="shared" si="9"/>
        <v>2</v>
      </c>
      <c r="E26" s="23">
        <f t="shared" ca="1" si="4"/>
        <v>0</v>
      </c>
      <c r="F26" s="23">
        <f t="shared" ca="1" si="0"/>
        <v>1</v>
      </c>
      <c r="G26" s="23">
        <f t="shared" ca="1" si="0"/>
        <v>0</v>
      </c>
      <c r="H26" s="23">
        <f t="shared" ca="1" si="0"/>
        <v>0</v>
      </c>
      <c r="I26" s="23">
        <f t="shared" ca="1" si="5"/>
        <v>0</v>
      </c>
      <c r="J26" s="23">
        <f t="shared" ca="1" si="1"/>
        <v>0</v>
      </c>
      <c r="K26" s="23">
        <f t="shared" ca="1" si="1"/>
        <v>0</v>
      </c>
      <c r="L26" s="23">
        <f t="shared" ca="1" si="1"/>
        <v>0</v>
      </c>
      <c r="M26" s="23">
        <f t="shared" ca="1" si="6"/>
        <v>0</v>
      </c>
      <c r="N26" s="23">
        <f t="shared" ca="1" si="2"/>
        <v>0</v>
      </c>
      <c r="O26" s="23">
        <f t="shared" ca="1" si="2"/>
        <v>0</v>
      </c>
      <c r="P26" s="23">
        <f t="shared" ca="1" si="2"/>
        <v>0</v>
      </c>
      <c r="R26" s="8">
        <f ca="1"/>
        <v>10.061477132562167</v>
      </c>
      <c r="S26" s="8">
        <f t="shared" ca="1" si="7"/>
        <v>23423.079824999943</v>
      </c>
    </row>
    <row r="27" spans="1:19" x14ac:dyDescent="0.25">
      <c r="A27" s="14" t="str">
        <f t="shared" si="3"/>
        <v>2-3</v>
      </c>
      <c r="B27" s="23">
        <f t="shared" si="8"/>
        <v>2</v>
      </c>
      <c r="C27" s="23">
        <f t="shared" si="9"/>
        <v>3</v>
      </c>
      <c r="E27" s="23">
        <f t="shared" ca="1" si="4"/>
        <v>0</v>
      </c>
      <c r="F27" s="23">
        <f t="shared" ca="1" si="0"/>
        <v>1</v>
      </c>
      <c r="G27" s="23">
        <f t="shared" ca="1" si="0"/>
        <v>0</v>
      </c>
      <c r="H27" s="23">
        <f t="shared" ca="1" si="0"/>
        <v>0</v>
      </c>
      <c r="I27" s="23">
        <f t="shared" ca="1" si="5"/>
        <v>0</v>
      </c>
      <c r="J27" s="23">
        <f t="shared" ca="1" si="1"/>
        <v>1</v>
      </c>
      <c r="K27" s="23">
        <f t="shared" ca="1" si="1"/>
        <v>0</v>
      </c>
      <c r="L27" s="23">
        <f t="shared" ca="1" si="1"/>
        <v>0</v>
      </c>
      <c r="M27" s="23">
        <f t="shared" ca="1" si="6"/>
        <v>0</v>
      </c>
      <c r="N27" s="23">
        <f t="shared" ca="1" si="2"/>
        <v>0</v>
      </c>
      <c r="O27" s="23">
        <f t="shared" ca="1" si="2"/>
        <v>1</v>
      </c>
      <c r="P27" s="23">
        <f t="shared" ca="1" si="2"/>
        <v>0</v>
      </c>
      <c r="R27" s="8">
        <f ca="1"/>
        <v>9.3625454563594843</v>
      </c>
      <c r="S27" s="8">
        <f t="shared" ca="1" si="7"/>
        <v>11643.990119999984</v>
      </c>
    </row>
    <row r="28" spans="1:19" x14ac:dyDescent="0.25">
      <c r="A28" s="14" t="str">
        <f t="shared" si="3"/>
        <v>2-4</v>
      </c>
      <c r="B28" s="23">
        <f t="shared" si="8"/>
        <v>2</v>
      </c>
      <c r="C28" s="23">
        <f t="shared" si="9"/>
        <v>4</v>
      </c>
      <c r="E28" s="23">
        <f t="shared" ca="1" si="4"/>
        <v>0</v>
      </c>
      <c r="F28" s="23">
        <f t="shared" ca="1" si="0"/>
        <v>1</v>
      </c>
      <c r="G28" s="23">
        <f t="shared" ca="1" si="0"/>
        <v>0</v>
      </c>
      <c r="H28" s="23">
        <f t="shared" ca="1" si="0"/>
        <v>0</v>
      </c>
      <c r="I28" s="23">
        <f t="shared" ca="1" si="5"/>
        <v>0</v>
      </c>
      <c r="J28" s="23">
        <f t="shared" ca="1" si="1"/>
        <v>0</v>
      </c>
      <c r="K28" s="23">
        <f t="shared" ca="1" si="1"/>
        <v>1</v>
      </c>
      <c r="L28" s="23">
        <f t="shared" ca="1" si="1"/>
        <v>0</v>
      </c>
      <c r="M28" s="23">
        <f t="shared" ca="1" si="6"/>
        <v>0</v>
      </c>
      <c r="N28" s="23">
        <f t="shared" ca="1" si="2"/>
        <v>0</v>
      </c>
      <c r="O28" s="23">
        <f t="shared" ca="1" si="2"/>
        <v>0</v>
      </c>
      <c r="P28" s="23">
        <f t="shared" ca="1" si="2"/>
        <v>1</v>
      </c>
      <c r="R28" s="8">
        <f ca="1"/>
        <v>8.8157181034949303</v>
      </c>
      <c r="S28" s="8">
        <f t="shared" ca="1" si="7"/>
        <v>6739.3455749999957</v>
      </c>
    </row>
    <row r="29" spans="1:19" x14ac:dyDescent="0.25">
      <c r="A29" s="14" t="str">
        <f t="shared" si="3"/>
        <v>3-1</v>
      </c>
      <c r="B29" s="23">
        <f t="shared" si="8"/>
        <v>3</v>
      </c>
      <c r="C29" s="23">
        <f t="shared" si="9"/>
        <v>1</v>
      </c>
      <c r="E29" s="23">
        <f t="shared" ca="1" si="4"/>
        <v>0</v>
      </c>
      <c r="F29" s="23">
        <f t="shared" ca="1" si="0"/>
        <v>0</v>
      </c>
      <c r="G29" s="23">
        <f t="shared" ca="1" si="0"/>
        <v>0</v>
      </c>
      <c r="H29" s="23">
        <f t="shared" ca="1" si="0"/>
        <v>0</v>
      </c>
      <c r="I29" s="23">
        <f t="shared" ca="1" si="5"/>
        <v>1</v>
      </c>
      <c r="J29" s="23">
        <f t="shared" ca="1" si="1"/>
        <v>0</v>
      </c>
      <c r="K29" s="23">
        <f t="shared" ca="1" si="1"/>
        <v>0</v>
      </c>
      <c r="L29" s="23">
        <f t="shared" ca="1" si="1"/>
        <v>0</v>
      </c>
      <c r="M29" s="23">
        <f t="shared" ca="1" si="6"/>
        <v>0</v>
      </c>
      <c r="N29" s="23">
        <f t="shared" ca="1" si="2"/>
        <v>0</v>
      </c>
      <c r="O29" s="23">
        <f t="shared" ca="1" si="2"/>
        <v>0</v>
      </c>
      <c r="P29" s="23">
        <f t="shared" ca="1" si="2"/>
        <v>0</v>
      </c>
      <c r="R29" s="8">
        <f ca="1"/>
        <v>9.6646851556760822</v>
      </c>
      <c r="S29" s="8">
        <f t="shared" ca="1" si="7"/>
        <v>15751.409867999977</v>
      </c>
    </row>
    <row r="30" spans="1:19" x14ac:dyDescent="0.25">
      <c r="A30" s="14" t="str">
        <f t="shared" si="3"/>
        <v>3-2</v>
      </c>
      <c r="B30" s="23">
        <f t="shared" si="8"/>
        <v>3</v>
      </c>
      <c r="C30" s="23">
        <f t="shared" si="9"/>
        <v>2</v>
      </c>
      <c r="E30" s="23">
        <f t="shared" ca="1" si="4"/>
        <v>0</v>
      </c>
      <c r="F30" s="23">
        <f t="shared" ca="1" si="0"/>
        <v>0</v>
      </c>
      <c r="G30" s="23">
        <f t="shared" ca="1" si="0"/>
        <v>0</v>
      </c>
      <c r="H30" s="23">
        <f t="shared" ca="1" si="0"/>
        <v>0</v>
      </c>
      <c r="I30" s="23">
        <f t="shared" ca="1" si="5"/>
        <v>0</v>
      </c>
      <c r="J30" s="23">
        <f t="shared" ca="1" si="1"/>
        <v>0</v>
      </c>
      <c r="K30" s="23">
        <f t="shared" ca="1" si="1"/>
        <v>0</v>
      </c>
      <c r="L30" s="23">
        <f t="shared" ca="1" si="1"/>
        <v>0</v>
      </c>
      <c r="M30" s="23">
        <f t="shared" ca="1" si="6"/>
        <v>0</v>
      </c>
      <c r="N30" s="23">
        <f t="shared" ca="1" si="2"/>
        <v>0</v>
      </c>
      <c r="O30" s="23">
        <f t="shared" ca="1" si="2"/>
        <v>1</v>
      </c>
      <c r="P30" s="23">
        <f t="shared" ca="1" si="2"/>
        <v>0</v>
      </c>
      <c r="R30" s="8">
        <f ca="1"/>
        <v>10.153394012094097</v>
      </c>
      <c r="S30" s="8">
        <f t="shared" ca="1" si="7"/>
        <v>25678.10628000004</v>
      </c>
    </row>
    <row r="31" spans="1:19" x14ac:dyDescent="0.25">
      <c r="A31" s="14" t="str">
        <f t="shared" si="3"/>
        <v>3-3</v>
      </c>
      <c r="B31" s="23">
        <f t="shared" si="8"/>
        <v>3</v>
      </c>
      <c r="C31" s="23">
        <f t="shared" si="9"/>
        <v>3</v>
      </c>
      <c r="E31" s="23">
        <f t="shared" ca="1" si="4"/>
        <v>0</v>
      </c>
      <c r="F31" s="23">
        <f t="shared" ca="1" si="0"/>
        <v>0</v>
      </c>
      <c r="G31" s="23">
        <f t="shared" ca="1" si="0"/>
        <v>0</v>
      </c>
      <c r="H31" s="23">
        <f t="shared" ca="1" si="0"/>
        <v>0</v>
      </c>
      <c r="I31" s="23">
        <f t="shared" ca="1" si="5"/>
        <v>0</v>
      </c>
      <c r="J31" s="23">
        <f t="shared" ca="1" si="1"/>
        <v>1</v>
      </c>
      <c r="K31" s="23">
        <f t="shared" ca="1" si="1"/>
        <v>0</v>
      </c>
      <c r="L31" s="23">
        <f t="shared" ca="1" si="1"/>
        <v>0</v>
      </c>
      <c r="M31" s="23">
        <f t="shared" ca="1" si="6"/>
        <v>0</v>
      </c>
      <c r="N31" s="23">
        <f t="shared" ca="1" si="2"/>
        <v>0</v>
      </c>
      <c r="O31" s="23">
        <f t="shared" ca="1" si="2"/>
        <v>0</v>
      </c>
      <c r="P31" s="23">
        <f t="shared" ca="1" si="2"/>
        <v>1</v>
      </c>
      <c r="R31" s="8">
        <f ca="1"/>
        <v>9.6912916514184602</v>
      </c>
      <c r="S31" s="8">
        <f t="shared" ca="1" si="7"/>
        <v>16176.124719999969</v>
      </c>
    </row>
    <row r="32" spans="1:19" x14ac:dyDescent="0.25">
      <c r="A32" s="14" t="str">
        <f t="shared" si="3"/>
        <v>4-1</v>
      </c>
      <c r="B32" s="23">
        <f t="shared" si="8"/>
        <v>4</v>
      </c>
      <c r="C32" s="23">
        <f t="shared" si="9"/>
        <v>1</v>
      </c>
      <c r="E32" s="23">
        <f t="shared" ca="1" si="4"/>
        <v>0</v>
      </c>
      <c r="F32" s="23">
        <f t="shared" ca="1" si="0"/>
        <v>0</v>
      </c>
      <c r="G32" s="23">
        <f t="shared" ca="1" si="0"/>
        <v>1</v>
      </c>
      <c r="H32" s="23">
        <f t="shared" ca="1" si="0"/>
        <v>0</v>
      </c>
      <c r="I32" s="23">
        <f t="shared" ca="1" si="5"/>
        <v>1</v>
      </c>
      <c r="J32" s="23">
        <f t="shared" ca="1" si="1"/>
        <v>0</v>
      </c>
      <c r="K32" s="23">
        <f t="shared" ca="1" si="1"/>
        <v>0</v>
      </c>
      <c r="L32" s="23">
        <f t="shared" ca="1" si="1"/>
        <v>0</v>
      </c>
      <c r="M32" s="23">
        <f t="shared" ca="1" si="6"/>
        <v>0</v>
      </c>
      <c r="N32" s="23">
        <f t="shared" ca="1" si="2"/>
        <v>0</v>
      </c>
      <c r="O32" s="23">
        <f t="shared" ca="1" si="2"/>
        <v>1</v>
      </c>
      <c r="P32" s="23">
        <f t="shared" ca="1" si="2"/>
        <v>0</v>
      </c>
      <c r="R32" s="8">
        <f ca="1"/>
        <v>9.6766238155292434</v>
      </c>
      <c r="S32" s="8">
        <f t="shared" ca="1" si="7"/>
        <v>15940.587610000019</v>
      </c>
    </row>
    <row r="33" spans="1:19" x14ac:dyDescent="0.25">
      <c r="A33" s="14" t="str">
        <f t="shared" si="3"/>
        <v>4-2</v>
      </c>
      <c r="B33" s="23">
        <f t="shared" si="8"/>
        <v>4</v>
      </c>
      <c r="C33" s="23">
        <f t="shared" si="9"/>
        <v>2</v>
      </c>
      <c r="E33" s="23">
        <f t="shared" ca="1" si="4"/>
        <v>0</v>
      </c>
      <c r="F33" s="23">
        <f t="shared" ca="1" si="0"/>
        <v>0</v>
      </c>
      <c r="G33" s="23">
        <f t="shared" ca="1" si="0"/>
        <v>1</v>
      </c>
      <c r="H33" s="23">
        <f t="shared" ca="1" si="0"/>
        <v>0</v>
      </c>
      <c r="I33" s="23">
        <f t="shared" ca="1" si="5"/>
        <v>0</v>
      </c>
      <c r="J33" s="23">
        <f t="shared" ca="1" si="1"/>
        <v>0</v>
      </c>
      <c r="K33" s="23">
        <f t="shared" ca="1" si="1"/>
        <v>0</v>
      </c>
      <c r="L33" s="23">
        <f t="shared" ca="1" si="1"/>
        <v>0</v>
      </c>
      <c r="M33" s="23">
        <f t="shared" ca="1" si="6"/>
        <v>0</v>
      </c>
      <c r="N33" s="23">
        <f t="shared" ca="1" si="2"/>
        <v>0</v>
      </c>
      <c r="O33" s="23">
        <f t="shared" ca="1" si="2"/>
        <v>0</v>
      </c>
      <c r="P33" s="23">
        <f t="shared" ca="1" si="2"/>
        <v>1</v>
      </c>
      <c r="R33" s="8">
        <f ca="1"/>
        <v>10.402161987474305</v>
      </c>
      <c r="S33" s="8">
        <f t="shared" ca="1" si="7"/>
        <v>32930.744624999985</v>
      </c>
    </row>
    <row r="34" spans="1:19" x14ac:dyDescent="0.25">
      <c r="A34" s="14" t="str">
        <f t="shared" si="3"/>
        <v>5-1</v>
      </c>
      <c r="B34" s="23">
        <f t="shared" si="8"/>
        <v>5</v>
      </c>
      <c r="C34" s="23">
        <f t="shared" si="9"/>
        <v>1</v>
      </c>
      <c r="E34" s="23">
        <f t="shared" ca="1" si="4"/>
        <v>0</v>
      </c>
      <c r="F34" s="23">
        <f t="shared" ca="1" si="0"/>
        <v>0</v>
      </c>
      <c r="G34" s="23">
        <f t="shared" ca="1" si="0"/>
        <v>0</v>
      </c>
      <c r="H34" s="23">
        <f t="shared" ca="1" si="0"/>
        <v>1</v>
      </c>
      <c r="I34" s="23">
        <f t="shared" ca="1" si="5"/>
        <v>1</v>
      </c>
      <c r="J34" s="23">
        <f t="shared" ca="1" si="1"/>
        <v>0</v>
      </c>
      <c r="K34" s="23">
        <f t="shared" ca="1" si="1"/>
        <v>0</v>
      </c>
      <c r="L34" s="23">
        <f t="shared" ca="1" si="1"/>
        <v>0</v>
      </c>
      <c r="M34" s="23">
        <f t="shared" ca="1" si="6"/>
        <v>0</v>
      </c>
      <c r="N34" s="23">
        <f t="shared" ca="1" si="2"/>
        <v>0</v>
      </c>
      <c r="O34" s="23">
        <f t="shared" ca="1" si="2"/>
        <v>0</v>
      </c>
      <c r="P34" s="23">
        <f t="shared" ca="1" si="2"/>
        <v>1</v>
      </c>
      <c r="R34" s="8">
        <f ca="1"/>
        <v>9.8879429927047013</v>
      </c>
      <c r="S34" s="8">
        <f t="shared" ca="1" si="7"/>
        <v>19691.512664999958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E1" workbookViewId="0">
      <selection activeCell="E2" sqref="E2"/>
    </sheetView>
  </sheetViews>
  <sheetFormatPr defaultRowHeight="15" x14ac:dyDescent="0.25"/>
  <cols>
    <col min="1" max="4" width="9.7109375" hidden="1" customWidth="1"/>
    <col min="5" max="28" width="9.7109375" customWidth="1"/>
  </cols>
  <sheetData>
    <row r="1" spans="1:30" ht="18.75" x14ac:dyDescent="0.3">
      <c r="E1" s="13" t="s">
        <v>116</v>
      </c>
    </row>
    <row r="3" spans="1:30" s="21" customFormat="1" ht="17.25" x14ac:dyDescent="0.25">
      <c r="A3" s="2">
        <v>1</v>
      </c>
      <c r="C3" s="25" t="s">
        <v>115</v>
      </c>
      <c r="E3" s="25" t="s">
        <v>107</v>
      </c>
      <c r="H3" s="25" t="s">
        <v>111</v>
      </c>
      <c r="P3" s="25" t="s">
        <v>110</v>
      </c>
      <c r="X3" s="25" t="s">
        <v>109</v>
      </c>
    </row>
    <row r="4" spans="1:30" x14ac:dyDescent="0.25">
      <c r="A4" s="14">
        <f t="array" aca="1" ref="A4:A15" ca="1">TRANSPOSE(H18:S18)</f>
        <v>1</v>
      </c>
      <c r="B4" s="14" t="b">
        <f t="array" ref="B4:B15">TRANSPOSE(H19:S19)</f>
        <v>1</v>
      </c>
      <c r="C4" s="2" t="str">
        <f ca="1">"α'"&amp;INDEX(SubNums,A4+1)</f>
        <v>α'₁</v>
      </c>
      <c r="D4" s="8">
        <f ca="1">INDEX('(5) LogLin with Exp &amp; Dev &amp; Pay'!$A$56:$E$56,A4)</f>
        <v>20.375541917170928</v>
      </c>
      <c r="E4" s="2" t="str">
        <f ca="1">"α"&amp;INDEX(SubNums,A4+1)</f>
        <v>α₁</v>
      </c>
      <c r="F4" s="8">
        <f ca="1">IF(B4,IF(A5&lt;&gt;A4+1,0,D5)-D4,D4-IF(A4&lt;&gt;A3+1,0,D3))</f>
        <v>-10.31406478460876</v>
      </c>
      <c r="H4" s="2" t="s">
        <v>0</v>
      </c>
      <c r="I4" s="2" t="s">
        <v>13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P4" s="2" t="s">
        <v>0</v>
      </c>
      <c r="Q4" s="2" t="s">
        <v>13</v>
      </c>
      <c r="R4" s="2">
        <v>1</v>
      </c>
      <c r="S4" s="2">
        <v>2</v>
      </c>
      <c r="T4" s="2">
        <v>3</v>
      </c>
      <c r="U4" s="2">
        <v>4</v>
      </c>
      <c r="V4" s="2">
        <v>5</v>
      </c>
      <c r="X4" s="2" t="s">
        <v>0</v>
      </c>
      <c r="Y4" s="2" t="s">
        <v>13</v>
      </c>
      <c r="Z4" s="2">
        <v>1</v>
      </c>
      <c r="AA4" s="2">
        <v>2</v>
      </c>
      <c r="AB4" s="2">
        <v>3</v>
      </c>
      <c r="AC4" s="2">
        <v>4</v>
      </c>
      <c r="AD4" s="2">
        <v>5</v>
      </c>
    </row>
    <row r="5" spans="1:30" x14ac:dyDescent="0.25">
      <c r="A5" s="14">
        <f ca="1"/>
        <v>2</v>
      </c>
      <c r="B5" s="14" t="b">
        <v>1</v>
      </c>
      <c r="C5" s="2" t="str">
        <f ca="1">"α'"&amp;INDEX(SubNums,A5+1)</f>
        <v>α'₂</v>
      </c>
      <c r="D5" s="8">
        <f ca="1">INDEX('(5) LogLin with Exp &amp; Dev &amp; Pay'!$A$56:$E$56,A5)</f>
        <v>10.061477132562167</v>
      </c>
      <c r="E5" s="2" t="str">
        <f ca="1">"α"&amp;INDEX(SubNums,A5+1)</f>
        <v>α₂</v>
      </c>
      <c r="F5" s="8">
        <f t="shared" ref="F5:F15" ca="1" si="0">IF(B5,IF(A6&lt;&gt;A5+1,0,D6)-D5,D5-IF(A5&lt;&gt;A4+1,0,D4))</f>
        <v>-10.061477132562167</v>
      </c>
      <c r="H5" s="2" t="s">
        <v>14</v>
      </c>
      <c r="I5" s="3"/>
      <c r="J5" s="3"/>
      <c r="K5" s="3"/>
      <c r="L5" s="3"/>
      <c r="M5" s="3"/>
      <c r="N5" s="3"/>
      <c r="P5" s="2" t="s">
        <v>14</v>
      </c>
      <c r="Q5" s="3"/>
      <c r="R5" s="3"/>
      <c r="S5" s="3"/>
      <c r="T5" s="3"/>
      <c r="U5" s="3"/>
      <c r="V5" s="3"/>
      <c r="X5" s="2" t="s">
        <v>14</v>
      </c>
      <c r="Y5" s="3"/>
      <c r="Z5" s="3"/>
      <c r="AA5" s="3"/>
      <c r="AB5" s="3"/>
      <c r="AC5" s="3"/>
      <c r="AD5" s="3"/>
    </row>
    <row r="6" spans="1:30" x14ac:dyDescent="0.25">
      <c r="A6" s="14">
        <f ca="1"/>
        <v>4</v>
      </c>
      <c r="B6" s="14" t="b">
        <v>0</v>
      </c>
      <c r="C6" s="2" t="str">
        <f ca="1">"α'"&amp;INDEX(SubNums,A6+1)</f>
        <v>α'₄</v>
      </c>
      <c r="D6" s="8">
        <f ca="1">INDEX('(5) LogLin with Exp &amp; Dev &amp; Pay'!$A$56:$E$56,A6)</f>
        <v>-10.141455352240936</v>
      </c>
      <c r="E6" s="2" t="str">
        <f ca="1">"α"&amp;INDEX(SubNums,A6+1)</f>
        <v>α₄</v>
      </c>
      <c r="F6" s="8">
        <f t="shared" ca="1" si="0"/>
        <v>-10.141455352240936</v>
      </c>
      <c r="H6" s="2">
        <v>1</v>
      </c>
      <c r="I6" s="3"/>
      <c r="J6" s="8">
        <f ca="1">IF(Z6&lt;&gt;"",INDEX($V$21:$V$35,Z6),"")</f>
        <v>17100.182659000024</v>
      </c>
      <c r="K6" s="8">
        <f ca="1">IF(AA6&lt;&gt;"",INDEX($V$21:$V$35,AA6),"")</f>
        <v>28089.829214999845</v>
      </c>
      <c r="L6" s="8">
        <f ca="1">IF(AB6&lt;&gt;"",INDEX($V$21:$V$35,AB6),"")</f>
        <v>13673.517731999935</v>
      </c>
      <c r="M6" s="8">
        <f ca="1">IF(AC6&lt;&gt;"",INDEX($V$21:$V$35,AC6),"")</f>
        <v>6245.1444980000042</v>
      </c>
      <c r="N6" s="8">
        <f ca="1">IF(AD6&lt;&gt;"",INDEX($V$21:$V$35,AD6),"")</f>
        <v>1053.9411149999951</v>
      </c>
      <c r="P6" s="2">
        <v>1</v>
      </c>
      <c r="Q6" s="3"/>
      <c r="R6" s="8">
        <f ca="1">'(4) Mult with Exp &amp; Dev &amp; Pay'!I6-J6</f>
        <v>0</v>
      </c>
      <c r="S6" s="8">
        <f ca="1">'(4) Mult with Exp &amp; Dev &amp; Pay'!J6-K6</f>
        <v>1.5643308870494366E-10</v>
      </c>
      <c r="T6" s="8">
        <f ca="1">'(4) Mult with Exp &amp; Dev &amp; Pay'!K6-L6</f>
        <v>6.5483618527650833E-11</v>
      </c>
      <c r="U6" s="8">
        <f ca="1">'(4) Mult with Exp &amp; Dev &amp; Pay'!L6-M6</f>
        <v>0</v>
      </c>
      <c r="V6" s="8">
        <f ca="1">'(4) Mult with Exp &amp; Dev &amp; Pay'!M6-N6</f>
        <v>5.0022208597511053E-12</v>
      </c>
      <c r="X6" s="2">
        <v>1</v>
      </c>
      <c r="Y6" s="3"/>
      <c r="Z6" s="24">
        <f>IFERROR(MATCH(TEXT($X6,"#")&amp;"-"&amp;TEXT(Z$4,"#"),$A$21:$A$35,0),"")</f>
        <v>1</v>
      </c>
      <c r="AA6" s="24">
        <f>IFERROR(MATCH(TEXT($X6,"#")&amp;"-"&amp;TEXT(AA$4,"#"),$A$21:$A$35,0),"")</f>
        <v>2</v>
      </c>
      <c r="AB6" s="24">
        <f>IFERROR(MATCH(TEXT($X6,"#")&amp;"-"&amp;TEXT(AB$4,"#"),$A$21:$A$35,0),"")</f>
        <v>3</v>
      </c>
      <c r="AC6" s="24">
        <f>IFERROR(MATCH(TEXT($X6,"#")&amp;"-"&amp;TEXT(AC$4,"#"),$A$21:$A$35,0),"")</f>
        <v>4</v>
      </c>
      <c r="AD6" s="24">
        <f>IFERROR(MATCH(TEXT($X6,"#")&amp;"-"&amp;TEXT(AD$4,"#"),$A$21:$A$35,0),"")</f>
        <v>5</v>
      </c>
    </row>
    <row r="7" spans="1:30" x14ac:dyDescent="0.25">
      <c r="A7" s="14">
        <f ca="1"/>
        <v>5</v>
      </c>
      <c r="B7" s="14" t="b">
        <v>0</v>
      </c>
      <c r="C7" s="2" t="str">
        <f ca="1">"α'"&amp;INDEX(SubNums,A7+1)</f>
        <v>α'₅</v>
      </c>
      <c r="D7" s="8">
        <f ca="1">INDEX('(5) LogLin with Exp &amp; Dev &amp; Pay'!$A$56:$E$56,A7)</f>
        <v>-20.320359502686621</v>
      </c>
      <c r="E7" s="2" t="str">
        <f ca="1">"α"&amp;INDEX(SubNums,A7+1)</f>
        <v>α₅</v>
      </c>
      <c r="F7" s="8">
        <f t="shared" ca="1" si="0"/>
        <v>-10.178904150445685</v>
      </c>
      <c r="H7" s="2">
        <v>2</v>
      </c>
      <c r="I7" s="3"/>
      <c r="J7" s="8">
        <f ca="1">IF(Z7&lt;&gt;"",INDEX($V$21:$V$35,Z7),"")</f>
        <v>14673.276764999924</v>
      </c>
      <c r="K7" s="8">
        <f ca="1">IF(AA7&lt;&gt;"",INDEX($V$21:$V$35,AA7),"")</f>
        <v>23423.079824999943</v>
      </c>
      <c r="L7" s="8">
        <f ca="1">IF(AB7&lt;&gt;"",INDEX($V$21:$V$35,AB7),"")</f>
        <v>11643.990119999984</v>
      </c>
      <c r="M7" s="8">
        <f ca="1">IF(AC7&lt;&gt;"",INDEX($V$21:$V$35,AC7),"")</f>
        <v>6739.3455749999957</v>
      </c>
      <c r="N7" s="9"/>
      <c r="P7" s="2">
        <v>2</v>
      </c>
      <c r="Q7" s="3"/>
      <c r="R7" s="8">
        <f ca="1">'(4) Mult with Exp &amp; Dev &amp; Pay'!I7-J7</f>
        <v>7.4578565545380116E-11</v>
      </c>
      <c r="S7" s="8">
        <f ca="1">'(4) Mult with Exp &amp; Dev &amp; Pay'!J7-K7</f>
        <v>5.8207660913467407E-11</v>
      </c>
      <c r="T7" s="8">
        <f ca="1">'(4) Mult with Exp &amp; Dev &amp; Pay'!K7-L7</f>
        <v>1.6370904631912708E-11</v>
      </c>
      <c r="U7" s="8">
        <f ca="1">'(4) Mult with Exp &amp; Dev &amp; Pay'!L7-M7</f>
        <v>0</v>
      </c>
      <c r="V7" s="9"/>
      <c r="X7" s="2">
        <v>2</v>
      </c>
      <c r="Y7" s="3"/>
      <c r="Z7" s="24">
        <f>IFERROR(MATCH(TEXT($X7,"#")&amp;"-"&amp;TEXT(Z$4,"#"),$A$21:$A$35,0),"")</f>
        <v>6</v>
      </c>
      <c r="AA7" s="24">
        <f>IFERROR(MATCH(TEXT($X7,"#")&amp;"-"&amp;TEXT(AA$4,"#"),$A$21:$A$35,0),"")</f>
        <v>7</v>
      </c>
      <c r="AB7" s="24">
        <f>IFERROR(MATCH(TEXT($X7,"#")&amp;"-"&amp;TEXT(AB$4,"#"),$A$21:$A$35,0),"")</f>
        <v>8</v>
      </c>
      <c r="AC7" s="24">
        <f>IFERROR(MATCH(TEXT($X7,"#")&amp;"-"&amp;TEXT(AC$4,"#"),$A$21:$A$35,0),"")</f>
        <v>9</v>
      </c>
      <c r="AD7" s="1"/>
    </row>
    <row r="8" spans="1:30" x14ac:dyDescent="0.25">
      <c r="A8" s="14">
        <f ca="1"/>
        <v>1</v>
      </c>
      <c r="B8" s="14" t="b">
        <v>1</v>
      </c>
      <c r="C8" s="2" t="str">
        <f ca="1">"β'"&amp;INDEX(SubNums,A8+1)</f>
        <v>β'₁</v>
      </c>
      <c r="D8" s="8">
        <f ca="1">INDEX('(5) LogLin with Exp &amp; Dev &amp; Pay'!$A$60:$E$60,A8)</f>
        <v>9.6646851556760822</v>
      </c>
      <c r="E8" s="2" t="str">
        <f ca="1">"β"&amp;INDEX(SubNums,A8+1)</f>
        <v>β₁</v>
      </c>
      <c r="F8" s="8">
        <f t="shared" ca="1" si="0"/>
        <v>-9.6646851556760822</v>
      </c>
      <c r="H8" s="2">
        <v>3</v>
      </c>
      <c r="I8" s="3"/>
      <c r="J8" s="8">
        <f ca="1">IF(Z8&lt;&gt;"",INDEX($V$21:$V$35,Z8),"")</f>
        <v>15751.409867999977</v>
      </c>
      <c r="K8" s="8">
        <f ca="1">IF(AA8&lt;&gt;"",INDEX($V$21:$V$35,AA8),"")</f>
        <v>25678.10628000004</v>
      </c>
      <c r="L8" s="8">
        <f ca="1">IF(AB8&lt;&gt;"",INDEX($V$21:$V$35,AB8),"")</f>
        <v>16176.124719999969</v>
      </c>
      <c r="M8" s="9"/>
      <c r="N8" s="9"/>
      <c r="P8" s="2">
        <v>3</v>
      </c>
      <c r="Q8" s="3"/>
      <c r="R8" s="8">
        <f ca="1">'(4) Mult with Exp &amp; Dev &amp; Pay'!I8-J8</f>
        <v>2.3646862246096134E-11</v>
      </c>
      <c r="S8" s="8">
        <f ca="1">'(4) Mult with Exp &amp; Dev &amp; Pay'!J8-K8</f>
        <v>-4.0017766878008842E-11</v>
      </c>
      <c r="T8" s="8">
        <f ca="1">'(4) Mult with Exp &amp; Dev &amp; Pay'!K8-L8</f>
        <v>3.092281986027956E-11</v>
      </c>
      <c r="U8" s="9"/>
      <c r="V8" s="9"/>
      <c r="X8" s="2">
        <v>3</v>
      </c>
      <c r="Y8" s="3"/>
      <c r="Z8" s="24">
        <f>IFERROR(MATCH(TEXT($X8,"#")&amp;"-"&amp;TEXT(Z$4,"#"),$A$21:$A$35,0),"")</f>
        <v>10</v>
      </c>
      <c r="AA8" s="24">
        <f>IFERROR(MATCH(TEXT($X8,"#")&amp;"-"&amp;TEXT(AA$4,"#"),$A$21:$A$35,0),"")</f>
        <v>11</v>
      </c>
      <c r="AB8" s="24">
        <f>IFERROR(MATCH(TEXT($X8,"#")&amp;"-"&amp;TEXT(AB$4,"#"),$A$21:$A$35,0),"")</f>
        <v>12</v>
      </c>
      <c r="AC8" s="1"/>
      <c r="AD8" s="1"/>
    </row>
    <row r="9" spans="1:30" x14ac:dyDescent="0.25">
      <c r="A9" s="14">
        <f ca="1"/>
        <v>3</v>
      </c>
      <c r="B9" s="14" t="b">
        <v>0</v>
      </c>
      <c r="C9" s="2" t="str">
        <f ca="1">"β'"&amp;INDEX(SubNums,A9+1)</f>
        <v>β'₃</v>
      </c>
      <c r="D9" s="8">
        <f ca="1">INDEX('(5) LogLin with Exp &amp; Dev &amp; Pay'!$A$60:$E$60,A9)</f>
        <v>-10.85232568829678</v>
      </c>
      <c r="E9" s="2" t="str">
        <f ca="1">"β"&amp;INDEX(SubNums,A9+1)</f>
        <v>β₃</v>
      </c>
      <c r="F9" s="8">
        <f t="shared" ca="1" si="0"/>
        <v>-10.85232568829678</v>
      </c>
      <c r="H9" s="2">
        <v>4</v>
      </c>
      <c r="I9" s="3"/>
      <c r="J9" s="8">
        <f ca="1">IF(Z9&lt;&gt;"",INDEX($V$21:$V$35,Z9),"")</f>
        <v>15940.587610000019</v>
      </c>
      <c r="K9" s="8">
        <f ca="1">IF(AA9&lt;&gt;"",INDEX($V$21:$V$35,AA9),"")</f>
        <v>32930.744624999985</v>
      </c>
      <c r="L9" s="9"/>
      <c r="M9" s="9"/>
      <c r="N9" s="9"/>
      <c r="P9" s="2">
        <v>4</v>
      </c>
      <c r="Q9" s="3"/>
      <c r="R9" s="8">
        <f ca="1">'(4) Mult with Exp &amp; Dev &amp; Pay'!I9-J9</f>
        <v>-1.8189894035458565E-11</v>
      </c>
      <c r="S9" s="8">
        <f ca="1">'(4) Mult with Exp &amp; Dev &amp; Pay'!J9-K9</f>
        <v>0</v>
      </c>
      <c r="T9" s="9"/>
      <c r="U9" s="9"/>
      <c r="V9" s="9"/>
      <c r="X9" s="2">
        <v>4</v>
      </c>
      <c r="Y9" s="3"/>
      <c r="Z9" s="24">
        <f>IFERROR(MATCH(TEXT($X9,"#")&amp;"-"&amp;TEXT(Z$4,"#"),$A$21:$A$35,0),"")</f>
        <v>13</v>
      </c>
      <c r="AA9" s="24">
        <f>IFERROR(MATCH(TEXT($X9,"#")&amp;"-"&amp;TEXT(AA$4,"#"),$A$21:$A$35,0),"")</f>
        <v>14</v>
      </c>
      <c r="AB9" s="1"/>
      <c r="AC9" s="1"/>
      <c r="AD9" s="1"/>
    </row>
    <row r="10" spans="1:30" x14ac:dyDescent="0.25">
      <c r="A10" s="14">
        <f ca="1"/>
        <v>4</v>
      </c>
      <c r="B10" s="14" t="b">
        <v>0</v>
      </c>
      <c r="C10" s="2" t="str">
        <f ca="1">"β'"&amp;INDEX(SubNums,A10+1)</f>
        <v>β'₄</v>
      </c>
      <c r="D10" s="8">
        <f ca="1">INDEX('(5) LogLin with Exp &amp; Dev &amp; Pay'!$A$60:$E$60,A10)</f>
        <v>-21.789376368782477</v>
      </c>
      <c r="E10" s="2" t="str">
        <f ca="1">"β"&amp;INDEX(SubNums,A10+1)</f>
        <v>β₄</v>
      </c>
      <c r="F10" s="8">
        <f t="shared" ca="1" si="0"/>
        <v>-10.937050680485697</v>
      </c>
      <c r="H10" s="2">
        <v>5</v>
      </c>
      <c r="I10" s="3"/>
      <c r="J10" s="8">
        <f ca="1">IF(Z10&lt;&gt;"",INDEX($V$21:$V$35,Z10),"")</f>
        <v>19691.512664999958</v>
      </c>
      <c r="K10" s="9"/>
      <c r="L10" s="9"/>
      <c r="M10" s="9"/>
      <c r="N10" s="9"/>
      <c r="P10" s="2">
        <v>5</v>
      </c>
      <c r="Q10" s="3"/>
      <c r="R10" s="8">
        <f ca="1">'(4) Mult with Exp &amp; Dev &amp; Pay'!I10-J10</f>
        <v>4.3655745685100555E-11</v>
      </c>
      <c r="S10" s="9"/>
      <c r="T10" s="9"/>
      <c r="U10" s="9"/>
      <c r="V10" s="9"/>
      <c r="X10" s="2">
        <v>5</v>
      </c>
      <c r="Y10" s="3"/>
      <c r="Z10" s="24">
        <f>IFERROR(MATCH(TEXT($X10,"#")&amp;"-"&amp;TEXT(Z$4,"#"),$A$21:$A$35,0),"")</f>
        <v>15</v>
      </c>
      <c r="AA10" s="1"/>
      <c r="AB10" s="1"/>
      <c r="AC10" s="1"/>
      <c r="AD10" s="1"/>
    </row>
    <row r="11" spans="1:30" x14ac:dyDescent="0.25">
      <c r="A11" s="14">
        <f ca="1"/>
        <v>5</v>
      </c>
      <c r="B11" s="14" t="b">
        <v>0</v>
      </c>
      <c r="C11" s="2" t="str">
        <f ca="1">"β'"&amp;INDEX(SubNums,A11+1)</f>
        <v>β'₅</v>
      </c>
      <c r="D11" s="8">
        <f ca="1">INDEX('(5) LogLin with Exp &amp; Dev &amp; Pay'!$A$60:$E$60,A11)</f>
        <v>-33.958867397466989</v>
      </c>
      <c r="E11" s="2" t="str">
        <f ca="1">"β"&amp;INDEX(SubNums,A11+1)</f>
        <v>β₅</v>
      </c>
      <c r="F11" s="8">
        <f t="shared" ca="1" si="0"/>
        <v>-12.169491028684511</v>
      </c>
    </row>
    <row r="12" spans="1:30" x14ac:dyDescent="0.25">
      <c r="A12" s="14">
        <f ca="1"/>
        <v>1</v>
      </c>
      <c r="B12" s="14" t="b">
        <v>1</v>
      </c>
      <c r="C12" s="2" t="str">
        <f ca="1">"γ'"&amp;INDEX(SubNums,A12+1)</f>
        <v>γ'₁</v>
      </c>
      <c r="D12" s="8">
        <f ca="1">INDEX('(5) LogLin with Exp &amp; Dev &amp; Pay'!$A$64:$E$64,A12)</f>
        <v>-20.293382648600442</v>
      </c>
      <c r="E12" s="2" t="str">
        <f ca="1">"γ"&amp;INDEX(SubNums,A12+1)</f>
        <v>γ₁</v>
      </c>
      <c r="F12" s="8">
        <f t="shared" ca="1" si="0"/>
        <v>10.161003571587635</v>
      </c>
    </row>
    <row r="13" spans="1:30" x14ac:dyDescent="0.25">
      <c r="A13" s="14">
        <f ca="1"/>
        <v>2</v>
      </c>
      <c r="B13" s="14" t="b">
        <v>1</v>
      </c>
      <c r="C13" s="2" t="str">
        <f ca="1">"γ'"&amp;INDEX(SubNums,A13+1)</f>
        <v>γ'₂</v>
      </c>
      <c r="D13" s="8">
        <f ca="1">INDEX('(5) LogLin with Exp &amp; Dev &amp; Pay'!$A$64:$E$64,A13)</f>
        <v>-10.132379077012807</v>
      </c>
      <c r="E13" s="2" t="str">
        <f ca="1">"γ"&amp;INDEX(SubNums,A13+1)</f>
        <v>γ₂</v>
      </c>
      <c r="F13" s="8">
        <f t="shared" ca="1" si="0"/>
        <v>10.132379077012807</v>
      </c>
      <c r="H13" s="6"/>
    </row>
    <row r="14" spans="1:30" x14ac:dyDescent="0.25">
      <c r="A14" s="14">
        <f ca="1"/>
        <v>4</v>
      </c>
      <c r="B14" s="14" t="b">
        <v>0</v>
      </c>
      <c r="C14" s="2" t="str">
        <f ca="1">"γ'"&amp;INDEX(SubNums,A14+1)</f>
        <v>γ'₄</v>
      </c>
      <c r="D14" s="8">
        <f ca="1">INDEX('(5) LogLin with Exp &amp; Dev &amp; Pay'!$A$64:$E$64,A14)</f>
        <v>10.153394012094097</v>
      </c>
      <c r="E14" s="2" t="str">
        <f ca="1">"γ"&amp;INDEX(SubNums,A14+1)</f>
        <v>γ₄</v>
      </c>
      <c r="F14" s="8">
        <f t="shared" ca="1" si="0"/>
        <v>10.153394012094097</v>
      </c>
    </row>
    <row r="15" spans="1:30" x14ac:dyDescent="0.25">
      <c r="A15" s="14">
        <f ca="1"/>
        <v>5</v>
      </c>
      <c r="B15" s="14" t="b">
        <v>0</v>
      </c>
      <c r="C15" s="2" t="str">
        <f ca="1">"γ'"&amp;INDEX(SubNums,A15+1)</f>
        <v>γ'₅</v>
      </c>
      <c r="D15" s="8">
        <f ca="1">INDEX('(5) LogLin with Exp &amp; Dev &amp; Pay'!$A$64:$E$64,A15)</f>
        <v>20.54361733971524</v>
      </c>
      <c r="E15" s="2" t="str">
        <f ca="1">"γ"&amp;INDEX(SubNums,A15+1)</f>
        <v>γ₅</v>
      </c>
      <c r="F15" s="8">
        <f t="shared" ca="1" si="0"/>
        <v>10.390223327621143</v>
      </c>
    </row>
    <row r="16" spans="1:30" x14ac:dyDescent="0.25">
      <c r="A16" s="2">
        <v>1</v>
      </c>
    </row>
    <row r="17" spans="1:22" x14ac:dyDescent="0.25">
      <c r="E17" s="11" t="s">
        <v>103</v>
      </c>
      <c r="H17" s="11" t="s">
        <v>108</v>
      </c>
      <c r="U17" s="11" t="s">
        <v>106</v>
      </c>
    </row>
    <row r="18" spans="1:22" hidden="1" x14ac:dyDescent="0.25">
      <c r="E18" s="11"/>
      <c r="H18" s="20">
        <f ca="1">OFFSET('(5) LogLin with Exp &amp; Dev &amp; Pay'!A55,0,IF(H19,0,1))</f>
        <v>1</v>
      </c>
      <c r="I18" s="20">
        <f ca="1">OFFSET('(5) LogLin with Exp &amp; Dev &amp; Pay'!B55,0,IF(I19,0,1))</f>
        <v>2</v>
      </c>
      <c r="J18" s="20">
        <f ca="1">OFFSET('(5) LogLin with Exp &amp; Dev &amp; Pay'!C55,0,IF(J19,0,1))</f>
        <v>4</v>
      </c>
      <c r="K18" s="20">
        <f ca="1">OFFSET('(5) LogLin with Exp &amp; Dev &amp; Pay'!D55,0,IF(K19,0,1))</f>
        <v>5</v>
      </c>
      <c r="L18" s="20">
        <f ca="1">OFFSET('(5) LogLin with Exp &amp; Dev &amp; Pay'!A59,0,IF(L19,0,1))</f>
        <v>1</v>
      </c>
      <c r="M18" s="20">
        <f ca="1">OFFSET('(5) LogLin with Exp &amp; Dev &amp; Pay'!B59,0,IF(M19,0,1))</f>
        <v>3</v>
      </c>
      <c r="N18" s="20">
        <f ca="1">OFFSET('(5) LogLin with Exp &amp; Dev &amp; Pay'!C59,0,IF(N19,0,1))</f>
        <v>4</v>
      </c>
      <c r="O18" s="20">
        <f ca="1">OFFSET('(5) LogLin with Exp &amp; Dev &amp; Pay'!D59,0,IF(O19,0,1))</f>
        <v>5</v>
      </c>
      <c r="P18" s="20">
        <f ca="1">OFFSET('(5) LogLin with Exp &amp; Dev &amp; Pay'!A63,0,IF(P19,0,1))</f>
        <v>1</v>
      </c>
      <c r="Q18" s="20">
        <f ca="1">OFFSET('(5) LogLin with Exp &amp; Dev &amp; Pay'!B63,0,IF(Q19,0,1))</f>
        <v>2</v>
      </c>
      <c r="R18" s="20">
        <f ca="1">OFFSET('(5) LogLin with Exp &amp; Dev &amp; Pay'!C63,0,IF(R19,0,1))</f>
        <v>4</v>
      </c>
      <c r="S18" s="20">
        <f ca="1">OFFSET('(5) LogLin with Exp &amp; Dev &amp; Pay'!D63,0,IF(S19,0,1))</f>
        <v>5</v>
      </c>
    </row>
    <row r="19" spans="1:22" hidden="1" x14ac:dyDescent="0.25">
      <c r="E19" s="11"/>
      <c r="H19" s="20" t="b">
        <f>'(5) LogLin with Exp &amp; Dev &amp; Pay'!A55&lt;'(5) LogLin with Exp &amp; Dev &amp; Pay'!$A$42</f>
        <v>1</v>
      </c>
      <c r="I19" s="20" t="b">
        <f>'(5) LogLin with Exp &amp; Dev &amp; Pay'!B55&lt;'(5) LogLin with Exp &amp; Dev &amp; Pay'!$A$42</f>
        <v>1</v>
      </c>
      <c r="J19" s="20" t="b">
        <f>'(5) LogLin with Exp &amp; Dev &amp; Pay'!C55&lt;'(5) LogLin with Exp &amp; Dev &amp; Pay'!$A$42</f>
        <v>0</v>
      </c>
      <c r="K19" s="20" t="b">
        <f>'(5) LogLin with Exp &amp; Dev &amp; Pay'!D55&lt;'(5) LogLin with Exp &amp; Dev &amp; Pay'!$A$42</f>
        <v>0</v>
      </c>
      <c r="L19" s="20" t="b">
        <f>'(5) LogLin with Exp &amp; Dev &amp; Pay'!A59&lt;'(5) LogLin with Exp &amp; Dev &amp; Pay'!$A$43</f>
        <v>1</v>
      </c>
      <c r="M19" s="20" t="b">
        <f>'(5) LogLin with Exp &amp; Dev &amp; Pay'!B59&lt;'(5) LogLin with Exp &amp; Dev &amp; Pay'!$A$43</f>
        <v>0</v>
      </c>
      <c r="N19" s="20" t="b">
        <f>'(5) LogLin with Exp &amp; Dev &amp; Pay'!C59&lt;'(5) LogLin with Exp &amp; Dev &amp; Pay'!$A$43</f>
        <v>0</v>
      </c>
      <c r="O19" s="20" t="b">
        <f>'(5) LogLin with Exp &amp; Dev &amp; Pay'!D59&lt;'(5) LogLin with Exp &amp; Dev &amp; Pay'!$A$43</f>
        <v>0</v>
      </c>
      <c r="P19" s="20" t="b">
        <f>'(5) LogLin with Exp &amp; Dev &amp; Pay'!A63&lt;'(5) LogLin with Exp &amp; Dev &amp; Pay'!$A$44</f>
        <v>1</v>
      </c>
      <c r="Q19" s="20" t="b">
        <f>'(5) LogLin with Exp &amp; Dev &amp; Pay'!B63&lt;'(5) LogLin with Exp &amp; Dev &amp; Pay'!$A$44</f>
        <v>1</v>
      </c>
      <c r="R19" s="20" t="b">
        <f>'(5) LogLin with Exp &amp; Dev &amp; Pay'!C63&lt;'(5) LogLin with Exp &amp; Dev &amp; Pay'!$A$44</f>
        <v>0</v>
      </c>
      <c r="S19" s="20" t="b">
        <f>'(5) LogLin with Exp &amp; Dev &amp; Pay'!D63&lt;'(5) LogLin with Exp &amp; Dev &amp; Pay'!$A$44</f>
        <v>0</v>
      </c>
    </row>
    <row r="20" spans="1:22" ht="17.25" x14ac:dyDescent="0.25">
      <c r="E20" s="19" t="s">
        <v>104</v>
      </c>
      <c r="F20" s="19" t="s">
        <v>105</v>
      </c>
      <c r="G20" s="14"/>
      <c r="H20" s="19" t="str">
        <f t="array" aca="1" ref="H20:S20" ca="1">TRANSPOSE(E4:E15)</f>
        <v>α₁</v>
      </c>
      <c r="I20" s="19" t="str">
        <f ca="1"/>
        <v>α₂</v>
      </c>
      <c r="J20" s="19" t="str">
        <f ca="1"/>
        <v>α₄</v>
      </c>
      <c r="K20" s="19" t="str">
        <f ca="1"/>
        <v>α₅</v>
      </c>
      <c r="L20" s="19" t="str">
        <f ca="1"/>
        <v>β₁</v>
      </c>
      <c r="M20" s="19" t="str">
        <f ca="1"/>
        <v>β₃</v>
      </c>
      <c r="N20" s="19" t="str">
        <f ca="1"/>
        <v>β₄</v>
      </c>
      <c r="O20" s="19" t="str">
        <f ca="1"/>
        <v>β₅</v>
      </c>
      <c r="P20" s="19" t="str">
        <f ca="1"/>
        <v>γ₁</v>
      </c>
      <c r="Q20" s="19" t="str">
        <f ca="1"/>
        <v>γ₂</v>
      </c>
      <c r="R20" s="19" t="str">
        <f ca="1"/>
        <v>γ₄</v>
      </c>
      <c r="S20" s="19" t="str">
        <f ca="1"/>
        <v>γ₅</v>
      </c>
      <c r="U20" s="19" t="s">
        <v>113</v>
      </c>
      <c r="V20" s="19" t="s">
        <v>112</v>
      </c>
    </row>
    <row r="21" spans="1:22" x14ac:dyDescent="0.25">
      <c r="A21" s="14" t="str">
        <f>TEXT(E21,"#")&amp;"-"&amp;TEXT(F21,"#")</f>
        <v>1-1</v>
      </c>
      <c r="B21" s="14"/>
      <c r="C21" s="14"/>
      <c r="D21" s="14"/>
      <c r="E21" s="23">
        <v>1</v>
      </c>
      <c r="F21" s="23">
        <v>1</v>
      </c>
      <c r="H21" s="23">
        <f ca="1">IF(H$19,IF($E21&lt;=H$18,-1,0),IF($E21&gt;=H$18,1,0))</f>
        <v>-1</v>
      </c>
      <c r="I21" s="23">
        <f t="shared" ref="I21:K35" ca="1" si="1">IF(I$19,IF($E21&lt;=I$18,-1,0),IF($E21&gt;=I$18,1,0))</f>
        <v>-1</v>
      </c>
      <c r="J21" s="23">
        <f t="shared" ca="1" si="1"/>
        <v>0</v>
      </c>
      <c r="K21" s="23">
        <f t="shared" ca="1" si="1"/>
        <v>0</v>
      </c>
      <c r="L21" s="23">
        <f ca="1">IF(L$19,IF($F21&lt;=L$18,-1,0),IF($F21&gt;=L$18,1,0))</f>
        <v>-1</v>
      </c>
      <c r="M21" s="23">
        <f t="shared" ref="M21:O35" ca="1" si="2">IF(M$19,IF($F21&lt;=M$18,-1,0),IF($F21&gt;=M$18,1,0))</f>
        <v>0</v>
      </c>
      <c r="N21" s="23">
        <f t="shared" ca="1" si="2"/>
        <v>0</v>
      </c>
      <c r="O21" s="23">
        <f t="shared" ca="1" si="2"/>
        <v>0</v>
      </c>
      <c r="P21" s="23">
        <f ca="1">IF(P$19,IF($E21+$F21-1&lt;=P$18,-1,0),IF($E21+$F21-1&gt;=P$18,1,0))</f>
        <v>-1</v>
      </c>
      <c r="Q21" s="23">
        <f t="shared" ref="Q21:S35" ca="1" si="3">IF(Q$19,IF($E21+$F21-1&lt;=Q$18,-1,0),IF($E21+$F21-1&gt;=Q$18,1,0))</f>
        <v>-1</v>
      </c>
      <c r="R21" s="23">
        <f t="shared" ca="1" si="3"/>
        <v>0</v>
      </c>
      <c r="S21" s="23">
        <f t="shared" ca="1" si="3"/>
        <v>0</v>
      </c>
      <c r="U21" s="8">
        <f t="array" aca="1" ref="U21:U35" ca="1">MMULT(H21:S35,F4:F15)</f>
        <v>9.7468444242465679</v>
      </c>
      <c r="V21" s="8">
        <f ca="1">EXP(U21)</f>
        <v>17100.182659000024</v>
      </c>
    </row>
    <row r="22" spans="1:22" x14ac:dyDescent="0.25">
      <c r="A22" s="14" t="str">
        <f t="shared" ref="A22:A35" si="4">TEXT(E22,"#")&amp;"-"&amp;TEXT(F22,"#")</f>
        <v>1-2</v>
      </c>
      <c r="B22" s="14"/>
      <c r="C22" s="14"/>
      <c r="D22" s="14"/>
      <c r="E22" s="23">
        <f>E21+IF(E21+F21=6,1,0)</f>
        <v>1</v>
      </c>
      <c r="F22" s="23">
        <f>IF(E21=E22,F21+1,1)</f>
        <v>2</v>
      </c>
      <c r="H22" s="23">
        <f t="shared" ref="H22:H35" ca="1" si="5">IF(H$19,IF($E22&lt;=H$18,-1,0),IF($E22&gt;=H$18,1,0))</f>
        <v>-1</v>
      </c>
      <c r="I22" s="23">
        <f t="shared" ca="1" si="1"/>
        <v>-1</v>
      </c>
      <c r="J22" s="23">
        <f t="shared" ca="1" si="1"/>
        <v>0</v>
      </c>
      <c r="K22" s="23">
        <f t="shared" ca="1" si="1"/>
        <v>0</v>
      </c>
      <c r="L22" s="23">
        <f t="shared" ref="L22:L35" ca="1" si="6">IF(L$19,IF($F22&lt;=L$18,-1,0),IF($F22&gt;=L$18,1,0))</f>
        <v>0</v>
      </c>
      <c r="M22" s="23">
        <f t="shared" ca="1" si="2"/>
        <v>0</v>
      </c>
      <c r="N22" s="23">
        <f t="shared" ca="1" si="2"/>
        <v>0</v>
      </c>
      <c r="O22" s="23">
        <f t="shared" ca="1" si="2"/>
        <v>0</v>
      </c>
      <c r="P22" s="23">
        <f t="shared" ref="P22:P35" ca="1" si="7">IF(P$19,IF($E22+$F22-1&lt;=P$18,-1,0),IF($E22+$F22-1&gt;=P$18,1,0))</f>
        <v>0</v>
      </c>
      <c r="Q22" s="23">
        <f t="shared" ca="1" si="3"/>
        <v>-1</v>
      </c>
      <c r="R22" s="23">
        <f t="shared" ca="1" si="3"/>
        <v>0</v>
      </c>
      <c r="S22" s="23">
        <f t="shared" ca="1" si="3"/>
        <v>0</v>
      </c>
      <c r="U22" s="8">
        <f ca="1"/>
        <v>10.243162840158121</v>
      </c>
      <c r="V22" s="8">
        <f t="shared" ref="V22:V35" ca="1" si="8">EXP(U22)</f>
        <v>28089.829214999845</v>
      </c>
    </row>
    <row r="23" spans="1:22" x14ac:dyDescent="0.25">
      <c r="A23" s="14" t="str">
        <f t="shared" si="4"/>
        <v>1-3</v>
      </c>
      <c r="B23" s="14"/>
      <c r="C23" s="14"/>
      <c r="D23" s="14"/>
      <c r="E23" s="23">
        <f t="shared" ref="E23:E35" si="9">E22+IF(E22+F22=6,1,0)</f>
        <v>1</v>
      </c>
      <c r="F23" s="23">
        <f t="shared" ref="F23:F35" si="10">IF(E22=E23,F22+1,1)</f>
        <v>3</v>
      </c>
      <c r="H23" s="23">
        <f t="shared" ca="1" si="5"/>
        <v>-1</v>
      </c>
      <c r="I23" s="23">
        <f t="shared" ca="1" si="1"/>
        <v>-1</v>
      </c>
      <c r="J23" s="23">
        <f t="shared" ca="1" si="1"/>
        <v>0</v>
      </c>
      <c r="K23" s="23">
        <f t="shared" ca="1" si="1"/>
        <v>0</v>
      </c>
      <c r="L23" s="23">
        <f t="shared" ca="1" si="6"/>
        <v>0</v>
      </c>
      <c r="M23" s="23">
        <f t="shared" ca="1" si="2"/>
        <v>1</v>
      </c>
      <c r="N23" s="23">
        <f t="shared" ca="1" si="2"/>
        <v>0</v>
      </c>
      <c r="O23" s="23">
        <f t="shared" ca="1" si="2"/>
        <v>0</v>
      </c>
      <c r="P23" s="23">
        <f t="shared" ca="1" si="7"/>
        <v>0</v>
      </c>
      <c r="Q23" s="23">
        <f t="shared" ca="1" si="3"/>
        <v>0</v>
      </c>
      <c r="R23" s="23">
        <f t="shared" ca="1" si="3"/>
        <v>0</v>
      </c>
      <c r="S23" s="23">
        <f t="shared" ca="1" si="3"/>
        <v>0</v>
      </c>
      <c r="U23" s="8">
        <f ca="1"/>
        <v>9.5232162288741478</v>
      </c>
      <c r="V23" s="8">
        <f t="shared" ca="1" si="8"/>
        <v>13673.517731999935</v>
      </c>
    </row>
    <row r="24" spans="1:22" x14ac:dyDescent="0.25">
      <c r="A24" s="14" t="str">
        <f t="shared" si="4"/>
        <v>1-4</v>
      </c>
      <c r="B24" s="14"/>
      <c r="C24" s="14"/>
      <c r="D24" s="14"/>
      <c r="E24" s="23">
        <f t="shared" si="9"/>
        <v>1</v>
      </c>
      <c r="F24" s="23">
        <f t="shared" si="10"/>
        <v>4</v>
      </c>
      <c r="H24" s="23">
        <f t="shared" ca="1" si="5"/>
        <v>-1</v>
      </c>
      <c r="I24" s="23">
        <f t="shared" ca="1" si="1"/>
        <v>-1</v>
      </c>
      <c r="J24" s="23">
        <f t="shared" ca="1" si="1"/>
        <v>0</v>
      </c>
      <c r="K24" s="23">
        <f t="shared" ca="1" si="1"/>
        <v>0</v>
      </c>
      <c r="L24" s="23">
        <f t="shared" ca="1" si="6"/>
        <v>0</v>
      </c>
      <c r="M24" s="23">
        <f t="shared" ca="1" si="2"/>
        <v>1</v>
      </c>
      <c r="N24" s="23">
        <f t="shared" ca="1" si="2"/>
        <v>1</v>
      </c>
      <c r="O24" s="23">
        <f t="shared" ca="1" si="2"/>
        <v>0</v>
      </c>
      <c r="P24" s="23">
        <f t="shared" ca="1" si="7"/>
        <v>0</v>
      </c>
      <c r="Q24" s="23">
        <f t="shared" ca="1" si="3"/>
        <v>0</v>
      </c>
      <c r="R24" s="23">
        <f t="shared" ca="1" si="3"/>
        <v>1</v>
      </c>
      <c r="S24" s="23">
        <f t="shared" ca="1" si="3"/>
        <v>0</v>
      </c>
      <c r="U24" s="8">
        <f ca="1"/>
        <v>8.7395595604825473</v>
      </c>
      <c r="V24" s="8">
        <f t="shared" ca="1" si="8"/>
        <v>6245.1444980000042</v>
      </c>
    </row>
    <row r="25" spans="1:22" x14ac:dyDescent="0.25">
      <c r="A25" s="14" t="str">
        <f t="shared" si="4"/>
        <v>1-5</v>
      </c>
      <c r="B25" s="14"/>
      <c r="C25" s="14"/>
      <c r="D25" s="14"/>
      <c r="E25" s="23">
        <f t="shared" si="9"/>
        <v>1</v>
      </c>
      <c r="F25" s="23">
        <f t="shared" si="10"/>
        <v>5</v>
      </c>
      <c r="H25" s="23">
        <f t="shared" ca="1" si="5"/>
        <v>-1</v>
      </c>
      <c r="I25" s="23">
        <f t="shared" ca="1" si="1"/>
        <v>-1</v>
      </c>
      <c r="J25" s="23">
        <f t="shared" ca="1" si="1"/>
        <v>0</v>
      </c>
      <c r="K25" s="23">
        <f t="shared" ca="1" si="1"/>
        <v>0</v>
      </c>
      <c r="L25" s="23">
        <f t="shared" ca="1" si="6"/>
        <v>0</v>
      </c>
      <c r="M25" s="23">
        <f t="shared" ca="1" si="2"/>
        <v>1</v>
      </c>
      <c r="N25" s="23">
        <f t="shared" ca="1" si="2"/>
        <v>1</v>
      </c>
      <c r="O25" s="23">
        <f t="shared" ca="1" si="2"/>
        <v>1</v>
      </c>
      <c r="P25" s="23">
        <f t="shared" ca="1" si="7"/>
        <v>0</v>
      </c>
      <c r="Q25" s="23">
        <f t="shared" ca="1" si="3"/>
        <v>0</v>
      </c>
      <c r="R25" s="23">
        <f t="shared" ca="1" si="3"/>
        <v>1</v>
      </c>
      <c r="S25" s="23">
        <f t="shared" ca="1" si="3"/>
        <v>1</v>
      </c>
      <c r="U25" s="8">
        <f ca="1"/>
        <v>6.9602918594191792</v>
      </c>
      <c r="V25" s="8">
        <f t="shared" ca="1" si="8"/>
        <v>1053.9411149999951</v>
      </c>
    </row>
    <row r="26" spans="1:22" x14ac:dyDescent="0.25">
      <c r="A26" s="14" t="str">
        <f t="shared" si="4"/>
        <v>2-1</v>
      </c>
      <c r="B26" s="14"/>
      <c r="C26" s="14"/>
      <c r="D26" s="14"/>
      <c r="E26" s="23">
        <f t="shared" si="9"/>
        <v>2</v>
      </c>
      <c r="F26" s="23">
        <f t="shared" si="10"/>
        <v>1</v>
      </c>
      <c r="H26" s="23">
        <f t="shared" ca="1" si="5"/>
        <v>0</v>
      </c>
      <c r="I26" s="23">
        <f t="shared" ca="1" si="1"/>
        <v>-1</v>
      </c>
      <c r="J26" s="23">
        <f t="shared" ca="1" si="1"/>
        <v>0</v>
      </c>
      <c r="K26" s="23">
        <f t="shared" ca="1" si="1"/>
        <v>0</v>
      </c>
      <c r="L26" s="23">
        <f t="shared" ca="1" si="6"/>
        <v>-1</v>
      </c>
      <c r="M26" s="23">
        <f t="shared" ca="1" si="2"/>
        <v>0</v>
      </c>
      <c r="N26" s="23">
        <f t="shared" ca="1" si="2"/>
        <v>0</v>
      </c>
      <c r="O26" s="23">
        <f t="shared" ca="1" si="2"/>
        <v>0</v>
      </c>
      <c r="P26" s="23">
        <f t="shared" ca="1" si="7"/>
        <v>0</v>
      </c>
      <c r="Q26" s="23">
        <f t="shared" ca="1" si="3"/>
        <v>-1</v>
      </c>
      <c r="R26" s="23">
        <f t="shared" ca="1" si="3"/>
        <v>0</v>
      </c>
      <c r="S26" s="23">
        <f t="shared" ca="1" si="3"/>
        <v>0</v>
      </c>
      <c r="U26" s="8">
        <f ca="1"/>
        <v>9.5937832112254426</v>
      </c>
      <c r="V26" s="8">
        <f t="shared" ca="1" si="8"/>
        <v>14673.276764999924</v>
      </c>
    </row>
    <row r="27" spans="1:22" x14ac:dyDescent="0.25">
      <c r="A27" s="14" t="str">
        <f t="shared" si="4"/>
        <v>2-2</v>
      </c>
      <c r="B27" s="14"/>
      <c r="C27" s="14"/>
      <c r="D27" s="14"/>
      <c r="E27" s="23">
        <f t="shared" si="9"/>
        <v>2</v>
      </c>
      <c r="F27" s="23">
        <f t="shared" si="10"/>
        <v>2</v>
      </c>
      <c r="H27" s="23">
        <f t="shared" ca="1" si="5"/>
        <v>0</v>
      </c>
      <c r="I27" s="23">
        <f t="shared" ca="1" si="1"/>
        <v>-1</v>
      </c>
      <c r="J27" s="23">
        <f t="shared" ca="1" si="1"/>
        <v>0</v>
      </c>
      <c r="K27" s="23">
        <f t="shared" ca="1" si="1"/>
        <v>0</v>
      </c>
      <c r="L27" s="23">
        <f t="shared" ca="1" si="6"/>
        <v>0</v>
      </c>
      <c r="M27" s="23">
        <f t="shared" ca="1" si="2"/>
        <v>0</v>
      </c>
      <c r="N27" s="23">
        <f t="shared" ca="1" si="2"/>
        <v>0</v>
      </c>
      <c r="O27" s="23">
        <f t="shared" ca="1" si="2"/>
        <v>0</v>
      </c>
      <c r="P27" s="23">
        <f t="shared" ca="1" si="7"/>
        <v>0</v>
      </c>
      <c r="Q27" s="23">
        <f t="shared" ca="1" si="3"/>
        <v>0</v>
      </c>
      <c r="R27" s="23">
        <f t="shared" ca="1" si="3"/>
        <v>0</v>
      </c>
      <c r="S27" s="23">
        <f t="shared" ca="1" si="3"/>
        <v>0</v>
      </c>
      <c r="U27" s="8">
        <f ca="1"/>
        <v>10.061477132562167</v>
      </c>
      <c r="V27" s="8">
        <f t="shared" ca="1" si="8"/>
        <v>23423.079824999943</v>
      </c>
    </row>
    <row r="28" spans="1:22" x14ac:dyDescent="0.25">
      <c r="A28" s="14" t="str">
        <f t="shared" si="4"/>
        <v>2-3</v>
      </c>
      <c r="B28" s="14"/>
      <c r="C28" s="14"/>
      <c r="D28" s="14"/>
      <c r="E28" s="23">
        <f t="shared" si="9"/>
        <v>2</v>
      </c>
      <c r="F28" s="23">
        <f t="shared" si="10"/>
        <v>3</v>
      </c>
      <c r="H28" s="23">
        <f t="shared" ca="1" si="5"/>
        <v>0</v>
      </c>
      <c r="I28" s="23">
        <f t="shared" ca="1" si="1"/>
        <v>-1</v>
      </c>
      <c r="J28" s="23">
        <f t="shared" ca="1" si="1"/>
        <v>0</v>
      </c>
      <c r="K28" s="23">
        <f t="shared" ca="1" si="1"/>
        <v>0</v>
      </c>
      <c r="L28" s="23">
        <f t="shared" ca="1" si="6"/>
        <v>0</v>
      </c>
      <c r="M28" s="23">
        <f t="shared" ca="1" si="2"/>
        <v>1</v>
      </c>
      <c r="N28" s="23">
        <f t="shared" ca="1" si="2"/>
        <v>0</v>
      </c>
      <c r="O28" s="23">
        <f t="shared" ca="1" si="2"/>
        <v>0</v>
      </c>
      <c r="P28" s="23">
        <f t="shared" ca="1" si="7"/>
        <v>0</v>
      </c>
      <c r="Q28" s="23">
        <f t="shared" ca="1" si="3"/>
        <v>0</v>
      </c>
      <c r="R28" s="23">
        <f t="shared" ca="1" si="3"/>
        <v>1</v>
      </c>
      <c r="S28" s="23">
        <f t="shared" ca="1" si="3"/>
        <v>0</v>
      </c>
      <c r="U28" s="8">
        <f ca="1"/>
        <v>9.3625454563594843</v>
      </c>
      <c r="V28" s="8">
        <f t="shared" ca="1" si="8"/>
        <v>11643.990119999984</v>
      </c>
    </row>
    <row r="29" spans="1:22" x14ac:dyDescent="0.25">
      <c r="A29" s="14" t="str">
        <f t="shared" si="4"/>
        <v>2-4</v>
      </c>
      <c r="B29" s="14"/>
      <c r="C29" s="14"/>
      <c r="D29" s="14"/>
      <c r="E29" s="23">
        <f t="shared" si="9"/>
        <v>2</v>
      </c>
      <c r="F29" s="23">
        <f t="shared" si="10"/>
        <v>4</v>
      </c>
      <c r="H29" s="23">
        <f t="shared" ca="1" si="5"/>
        <v>0</v>
      </c>
      <c r="I29" s="23">
        <f t="shared" ca="1" si="1"/>
        <v>-1</v>
      </c>
      <c r="J29" s="23">
        <f t="shared" ca="1" si="1"/>
        <v>0</v>
      </c>
      <c r="K29" s="23">
        <f t="shared" ca="1" si="1"/>
        <v>0</v>
      </c>
      <c r="L29" s="23">
        <f t="shared" ca="1" si="6"/>
        <v>0</v>
      </c>
      <c r="M29" s="23">
        <f t="shared" ca="1" si="2"/>
        <v>1</v>
      </c>
      <c r="N29" s="23">
        <f t="shared" ca="1" si="2"/>
        <v>1</v>
      </c>
      <c r="O29" s="23">
        <f t="shared" ca="1" si="2"/>
        <v>0</v>
      </c>
      <c r="P29" s="23">
        <f t="shared" ca="1" si="7"/>
        <v>0</v>
      </c>
      <c r="Q29" s="23">
        <f t="shared" ca="1" si="3"/>
        <v>0</v>
      </c>
      <c r="R29" s="23">
        <f t="shared" ca="1" si="3"/>
        <v>1</v>
      </c>
      <c r="S29" s="23">
        <f t="shared" ca="1" si="3"/>
        <v>1</v>
      </c>
      <c r="U29" s="8">
        <f ca="1"/>
        <v>8.8157181034949303</v>
      </c>
      <c r="V29" s="8">
        <f t="shared" ca="1" si="8"/>
        <v>6739.3455749999957</v>
      </c>
    </row>
    <row r="30" spans="1:22" x14ac:dyDescent="0.25">
      <c r="A30" s="14" t="str">
        <f t="shared" si="4"/>
        <v>3-1</v>
      </c>
      <c r="B30" s="14"/>
      <c r="C30" s="14"/>
      <c r="D30" s="14"/>
      <c r="E30" s="23">
        <f t="shared" si="9"/>
        <v>3</v>
      </c>
      <c r="F30" s="23">
        <f t="shared" si="10"/>
        <v>1</v>
      </c>
      <c r="H30" s="23">
        <f t="shared" ca="1" si="5"/>
        <v>0</v>
      </c>
      <c r="I30" s="23">
        <f t="shared" ca="1" si="1"/>
        <v>0</v>
      </c>
      <c r="J30" s="23">
        <f t="shared" ca="1" si="1"/>
        <v>0</v>
      </c>
      <c r="K30" s="23">
        <f t="shared" ca="1" si="1"/>
        <v>0</v>
      </c>
      <c r="L30" s="23">
        <f t="shared" ca="1" si="6"/>
        <v>-1</v>
      </c>
      <c r="M30" s="23">
        <f t="shared" ca="1" si="2"/>
        <v>0</v>
      </c>
      <c r="N30" s="23">
        <f t="shared" ca="1" si="2"/>
        <v>0</v>
      </c>
      <c r="O30" s="23">
        <f t="shared" ca="1" si="2"/>
        <v>0</v>
      </c>
      <c r="P30" s="23">
        <f t="shared" ca="1" si="7"/>
        <v>0</v>
      </c>
      <c r="Q30" s="23">
        <f t="shared" ca="1" si="3"/>
        <v>0</v>
      </c>
      <c r="R30" s="23">
        <f t="shared" ca="1" si="3"/>
        <v>0</v>
      </c>
      <c r="S30" s="23">
        <f t="shared" ca="1" si="3"/>
        <v>0</v>
      </c>
      <c r="U30" s="8">
        <f ca="1"/>
        <v>9.6646851556760822</v>
      </c>
      <c r="V30" s="8">
        <f t="shared" ca="1" si="8"/>
        <v>15751.409867999977</v>
      </c>
    </row>
    <row r="31" spans="1:22" x14ac:dyDescent="0.25">
      <c r="A31" s="14" t="str">
        <f t="shared" si="4"/>
        <v>3-2</v>
      </c>
      <c r="B31" s="14"/>
      <c r="C31" s="14"/>
      <c r="D31" s="14"/>
      <c r="E31" s="23">
        <f t="shared" si="9"/>
        <v>3</v>
      </c>
      <c r="F31" s="23">
        <f t="shared" si="10"/>
        <v>2</v>
      </c>
      <c r="H31" s="23">
        <f t="shared" ca="1" si="5"/>
        <v>0</v>
      </c>
      <c r="I31" s="23">
        <f t="shared" ca="1" si="1"/>
        <v>0</v>
      </c>
      <c r="J31" s="23">
        <f t="shared" ca="1" si="1"/>
        <v>0</v>
      </c>
      <c r="K31" s="23">
        <f t="shared" ca="1" si="1"/>
        <v>0</v>
      </c>
      <c r="L31" s="23">
        <f t="shared" ca="1" si="6"/>
        <v>0</v>
      </c>
      <c r="M31" s="23">
        <f t="shared" ca="1" si="2"/>
        <v>0</v>
      </c>
      <c r="N31" s="23">
        <f t="shared" ca="1" si="2"/>
        <v>0</v>
      </c>
      <c r="O31" s="23">
        <f t="shared" ca="1" si="2"/>
        <v>0</v>
      </c>
      <c r="P31" s="23">
        <f t="shared" ca="1" si="7"/>
        <v>0</v>
      </c>
      <c r="Q31" s="23">
        <f t="shared" ca="1" si="3"/>
        <v>0</v>
      </c>
      <c r="R31" s="23">
        <f t="shared" ca="1" si="3"/>
        <v>1</v>
      </c>
      <c r="S31" s="23">
        <f t="shared" ca="1" si="3"/>
        <v>0</v>
      </c>
      <c r="U31" s="8">
        <f ca="1"/>
        <v>10.153394012094097</v>
      </c>
      <c r="V31" s="8">
        <f t="shared" ca="1" si="8"/>
        <v>25678.10628000004</v>
      </c>
    </row>
    <row r="32" spans="1:22" x14ac:dyDescent="0.25">
      <c r="A32" s="14" t="str">
        <f t="shared" si="4"/>
        <v>3-3</v>
      </c>
      <c r="B32" s="14"/>
      <c r="C32" s="14"/>
      <c r="D32" s="14"/>
      <c r="E32" s="23">
        <f t="shared" si="9"/>
        <v>3</v>
      </c>
      <c r="F32" s="23">
        <f t="shared" si="10"/>
        <v>3</v>
      </c>
      <c r="H32" s="23">
        <f t="shared" ca="1" si="5"/>
        <v>0</v>
      </c>
      <c r="I32" s="23">
        <f t="shared" ca="1" si="1"/>
        <v>0</v>
      </c>
      <c r="J32" s="23">
        <f t="shared" ca="1" si="1"/>
        <v>0</v>
      </c>
      <c r="K32" s="23">
        <f t="shared" ca="1" si="1"/>
        <v>0</v>
      </c>
      <c r="L32" s="23">
        <f t="shared" ca="1" si="6"/>
        <v>0</v>
      </c>
      <c r="M32" s="23">
        <f t="shared" ca="1" si="2"/>
        <v>1</v>
      </c>
      <c r="N32" s="23">
        <f t="shared" ca="1" si="2"/>
        <v>0</v>
      </c>
      <c r="O32" s="23">
        <f t="shared" ca="1" si="2"/>
        <v>0</v>
      </c>
      <c r="P32" s="23">
        <f t="shared" ca="1" si="7"/>
        <v>0</v>
      </c>
      <c r="Q32" s="23">
        <f t="shared" ca="1" si="3"/>
        <v>0</v>
      </c>
      <c r="R32" s="23">
        <f t="shared" ca="1" si="3"/>
        <v>1</v>
      </c>
      <c r="S32" s="23">
        <f t="shared" ca="1" si="3"/>
        <v>1</v>
      </c>
      <c r="U32" s="8">
        <f ca="1"/>
        <v>9.6912916514184602</v>
      </c>
      <c r="V32" s="8">
        <f t="shared" ca="1" si="8"/>
        <v>16176.124719999969</v>
      </c>
    </row>
    <row r="33" spans="1:22" x14ac:dyDescent="0.25">
      <c r="A33" s="14" t="str">
        <f t="shared" si="4"/>
        <v>4-1</v>
      </c>
      <c r="B33" s="14"/>
      <c r="C33" s="14"/>
      <c r="D33" s="14"/>
      <c r="E33" s="23">
        <f t="shared" si="9"/>
        <v>4</v>
      </c>
      <c r="F33" s="23">
        <f t="shared" si="10"/>
        <v>1</v>
      </c>
      <c r="H33" s="23">
        <f t="shared" ca="1" si="5"/>
        <v>0</v>
      </c>
      <c r="I33" s="23">
        <f t="shared" ca="1" si="1"/>
        <v>0</v>
      </c>
      <c r="J33" s="23">
        <f t="shared" ca="1" si="1"/>
        <v>1</v>
      </c>
      <c r="K33" s="23">
        <f t="shared" ca="1" si="1"/>
        <v>0</v>
      </c>
      <c r="L33" s="23">
        <f t="shared" ca="1" si="6"/>
        <v>-1</v>
      </c>
      <c r="M33" s="23">
        <f t="shared" ca="1" si="2"/>
        <v>0</v>
      </c>
      <c r="N33" s="23">
        <f t="shared" ca="1" si="2"/>
        <v>0</v>
      </c>
      <c r="O33" s="23">
        <f t="shared" ca="1" si="2"/>
        <v>0</v>
      </c>
      <c r="P33" s="23">
        <f t="shared" ca="1" si="7"/>
        <v>0</v>
      </c>
      <c r="Q33" s="23">
        <f t="shared" ca="1" si="3"/>
        <v>0</v>
      </c>
      <c r="R33" s="23">
        <f t="shared" ca="1" si="3"/>
        <v>1</v>
      </c>
      <c r="S33" s="23">
        <f t="shared" ca="1" si="3"/>
        <v>0</v>
      </c>
      <c r="U33" s="8">
        <f ca="1"/>
        <v>9.6766238155292434</v>
      </c>
      <c r="V33" s="8">
        <f t="shared" ca="1" si="8"/>
        <v>15940.587610000019</v>
      </c>
    </row>
    <row r="34" spans="1:22" x14ac:dyDescent="0.25">
      <c r="A34" s="14" t="str">
        <f t="shared" si="4"/>
        <v>4-2</v>
      </c>
      <c r="B34" s="14"/>
      <c r="C34" s="14"/>
      <c r="D34" s="14"/>
      <c r="E34" s="23">
        <f t="shared" si="9"/>
        <v>4</v>
      </c>
      <c r="F34" s="23">
        <f t="shared" si="10"/>
        <v>2</v>
      </c>
      <c r="H34" s="23">
        <f t="shared" ca="1" si="5"/>
        <v>0</v>
      </c>
      <c r="I34" s="23">
        <f t="shared" ca="1" si="1"/>
        <v>0</v>
      </c>
      <c r="J34" s="23">
        <f t="shared" ca="1" si="1"/>
        <v>1</v>
      </c>
      <c r="K34" s="23">
        <f t="shared" ca="1" si="1"/>
        <v>0</v>
      </c>
      <c r="L34" s="23">
        <f t="shared" ca="1" si="6"/>
        <v>0</v>
      </c>
      <c r="M34" s="23">
        <f t="shared" ca="1" si="2"/>
        <v>0</v>
      </c>
      <c r="N34" s="23">
        <f t="shared" ca="1" si="2"/>
        <v>0</v>
      </c>
      <c r="O34" s="23">
        <f t="shared" ca="1" si="2"/>
        <v>0</v>
      </c>
      <c r="P34" s="23">
        <f t="shared" ca="1" si="7"/>
        <v>0</v>
      </c>
      <c r="Q34" s="23">
        <f t="shared" ca="1" si="3"/>
        <v>0</v>
      </c>
      <c r="R34" s="23">
        <f t="shared" ca="1" si="3"/>
        <v>1</v>
      </c>
      <c r="S34" s="23">
        <f t="shared" ca="1" si="3"/>
        <v>1</v>
      </c>
      <c r="U34" s="8">
        <f ca="1"/>
        <v>10.402161987474305</v>
      </c>
      <c r="V34" s="8">
        <f t="shared" ca="1" si="8"/>
        <v>32930.744624999985</v>
      </c>
    </row>
    <row r="35" spans="1:22" x14ac:dyDescent="0.25">
      <c r="A35" s="14" t="str">
        <f t="shared" si="4"/>
        <v>5-1</v>
      </c>
      <c r="B35" s="14"/>
      <c r="C35" s="14"/>
      <c r="D35" s="14"/>
      <c r="E35" s="23">
        <f t="shared" si="9"/>
        <v>5</v>
      </c>
      <c r="F35" s="23">
        <f t="shared" si="10"/>
        <v>1</v>
      </c>
      <c r="H35" s="23">
        <f t="shared" ca="1" si="5"/>
        <v>0</v>
      </c>
      <c r="I35" s="23">
        <f t="shared" ca="1" si="1"/>
        <v>0</v>
      </c>
      <c r="J35" s="23">
        <f t="shared" ca="1" si="1"/>
        <v>1</v>
      </c>
      <c r="K35" s="23">
        <f t="shared" ca="1" si="1"/>
        <v>1</v>
      </c>
      <c r="L35" s="23">
        <f t="shared" ca="1" si="6"/>
        <v>-1</v>
      </c>
      <c r="M35" s="23">
        <f t="shared" ca="1" si="2"/>
        <v>0</v>
      </c>
      <c r="N35" s="23">
        <f t="shared" ca="1" si="2"/>
        <v>0</v>
      </c>
      <c r="O35" s="23">
        <f t="shared" ca="1" si="2"/>
        <v>0</v>
      </c>
      <c r="P35" s="23">
        <f t="shared" ca="1" si="7"/>
        <v>0</v>
      </c>
      <c r="Q35" s="23">
        <f t="shared" ca="1" si="3"/>
        <v>0</v>
      </c>
      <c r="R35" s="23">
        <f t="shared" ca="1" si="3"/>
        <v>1</v>
      </c>
      <c r="S35" s="23">
        <f t="shared" ca="1" si="3"/>
        <v>1</v>
      </c>
      <c r="U35" s="8">
        <f ca="1"/>
        <v>9.8879429927047013</v>
      </c>
      <c r="V35" s="8">
        <f t="shared" ca="1" si="8"/>
        <v>19691.512664999958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D1" workbookViewId="0">
      <selection activeCell="D2" sqref="D2"/>
    </sheetView>
  </sheetViews>
  <sheetFormatPr defaultRowHeight="15" x14ac:dyDescent="0.25"/>
  <cols>
    <col min="1" max="3" width="9.7109375" hidden="1" customWidth="1"/>
    <col min="4" max="27" width="9.7109375" customWidth="1"/>
  </cols>
  <sheetData>
    <row r="1" spans="1:31" ht="18.75" x14ac:dyDescent="0.3">
      <c r="D1" s="13" t="s">
        <v>116</v>
      </c>
    </row>
    <row r="3" spans="1:31" s="21" customFormat="1" ht="17.25" x14ac:dyDescent="0.25">
      <c r="A3"/>
      <c r="B3"/>
      <c r="C3"/>
      <c r="D3" s="25" t="s">
        <v>107</v>
      </c>
      <c r="I3" s="25" t="s">
        <v>111</v>
      </c>
      <c r="Q3" s="25" t="s">
        <v>110</v>
      </c>
      <c r="Y3" s="25" t="s">
        <v>109</v>
      </c>
    </row>
    <row r="4" spans="1:31" x14ac:dyDescent="0.25">
      <c r="A4" s="14"/>
      <c r="B4" s="14"/>
      <c r="C4" s="14"/>
      <c r="D4" s="2"/>
      <c r="E4" s="26" t="s">
        <v>0</v>
      </c>
      <c r="F4" s="26"/>
      <c r="G4" s="2"/>
      <c r="I4" s="2" t="s">
        <v>0</v>
      </c>
      <c r="J4" s="2" t="s">
        <v>13</v>
      </c>
      <c r="K4" s="2">
        <v>1</v>
      </c>
      <c r="L4" s="2">
        <v>2</v>
      </c>
      <c r="M4" s="2">
        <v>3</v>
      </c>
      <c r="N4" s="2">
        <v>4</v>
      </c>
      <c r="O4" s="2">
        <v>5</v>
      </c>
      <c r="Q4" s="2" t="s">
        <v>0</v>
      </c>
      <c r="R4" s="2" t="s">
        <v>13</v>
      </c>
      <c r="S4" s="2">
        <v>1</v>
      </c>
      <c r="T4" s="2">
        <v>2</v>
      </c>
      <c r="U4" s="2">
        <v>3</v>
      </c>
      <c r="V4" s="2">
        <v>4</v>
      </c>
      <c r="W4" s="2">
        <v>5</v>
      </c>
      <c r="Y4" s="2" t="s">
        <v>0</v>
      </c>
      <c r="Z4" s="2" t="s">
        <v>13</v>
      </c>
      <c r="AA4" s="2">
        <v>1</v>
      </c>
      <c r="AB4" s="2">
        <v>2</v>
      </c>
      <c r="AC4" s="2">
        <v>3</v>
      </c>
      <c r="AD4" s="2">
        <v>4</v>
      </c>
      <c r="AE4" s="2">
        <v>5</v>
      </c>
    </row>
    <row r="5" spans="1:31" x14ac:dyDescent="0.25">
      <c r="A5" s="14">
        <v>1</v>
      </c>
      <c r="B5" s="14"/>
      <c r="C5" s="14"/>
      <c r="D5" s="2" t="s">
        <v>117</v>
      </c>
      <c r="E5" s="2" t="s">
        <v>119</v>
      </c>
      <c r="F5" s="2" t="s">
        <v>120</v>
      </c>
      <c r="G5" s="2" t="s">
        <v>118</v>
      </c>
      <c r="I5" s="2" t="s">
        <v>14</v>
      </c>
      <c r="J5" s="3"/>
      <c r="K5" s="3"/>
      <c r="L5" s="3"/>
      <c r="M5" s="3"/>
      <c r="N5" s="3"/>
      <c r="O5" s="3"/>
      <c r="Q5" s="2" t="s">
        <v>14</v>
      </c>
      <c r="R5" s="3"/>
      <c r="S5" s="3"/>
      <c r="T5" s="3"/>
      <c r="U5" s="3"/>
      <c r="V5" s="3"/>
      <c r="W5" s="3"/>
      <c r="Y5" s="2" t="s">
        <v>14</v>
      </c>
      <c r="Z5" s="3"/>
      <c r="AA5" s="3"/>
      <c r="AB5" s="3"/>
      <c r="AC5" s="3"/>
      <c r="AD5" s="3"/>
      <c r="AE5" s="3"/>
    </row>
    <row r="6" spans="1:31" x14ac:dyDescent="0.25">
      <c r="A6" s="14">
        <v>1</v>
      </c>
      <c r="B6" s="14"/>
      <c r="C6" s="14"/>
      <c r="D6" s="2" t="str">
        <f>"α"&amp;INDEX(SubNums,2)</f>
        <v>α₁</v>
      </c>
      <c r="E6" s="17">
        <v>1</v>
      </c>
      <c r="F6" s="12">
        <v>2</v>
      </c>
      <c r="G6" s="8">
        <f ca="1">AVERAGE(OFFSET('(7) Trnd Mod Matrix Exp&amp;Dev&amp;Pay'!$F$3,E6,0,F6-E6,1))</f>
        <v>-10.31406478460876</v>
      </c>
      <c r="I6" s="2">
        <v>1</v>
      </c>
      <c r="J6" s="3"/>
      <c r="K6" s="8">
        <f ca="1">IF(AA6&lt;&gt;"",INDEX($O$32:$O$46,AA6),"")</f>
        <v>16115.371137457081</v>
      </c>
      <c r="L6" s="8">
        <f ca="1">IF(AB6&lt;&gt;"",INDEX($O$32:$O$46,AB6),"")</f>
        <v>27780.612545690372</v>
      </c>
      <c r="M6" s="8">
        <f ca="1">IF(AC6&lt;&gt;"",INDEX($O$32:$O$46,AC6),"")</f>
        <v>13997.80035332917</v>
      </c>
      <c r="N6" s="8">
        <f ca="1">IF(AD6&lt;&gt;"",INDEX($O$32:$O$46,AD6),"")</f>
        <v>7053.0631536437568</v>
      </c>
      <c r="O6" s="8">
        <f ca="1">IF(AE6&lt;&gt;"",INDEX($O$32:$O$46,AE6),"")</f>
        <v>993.24390645096616</v>
      </c>
      <c r="Q6" s="2">
        <v>1</v>
      </c>
      <c r="R6" s="3"/>
      <c r="S6" s="8">
        <f ca="1">'(4) Mult with Exp &amp; Dev &amp; Pay'!I6-K6</f>
        <v>984.81152154291703</v>
      </c>
      <c r="T6" s="8">
        <f ca="1">'(4) Mult with Exp &amp; Dev &amp; Pay'!J6-L6</f>
        <v>309.21666930962965</v>
      </c>
      <c r="U6" s="8">
        <f ca="1">'(4) Mult with Exp &amp; Dev &amp; Pay'!K6-M6</f>
        <v>-324.28262132917007</v>
      </c>
      <c r="V6" s="8">
        <f ca="1">'(4) Mult with Exp &amp; Dev &amp; Pay'!L6-N6</f>
        <v>-807.91865564375621</v>
      </c>
      <c r="W6" s="8">
        <f ca="1">'(4) Mult with Exp &amp; Dev &amp; Pay'!M6-O6</f>
        <v>60.697208549033917</v>
      </c>
      <c r="Y6" s="2">
        <v>1</v>
      </c>
      <c r="Z6" s="3"/>
      <c r="AA6" s="24">
        <f>IFERROR(MATCH(TEXT($Y6,"#")&amp;"-"&amp;TEXT(AA$4,"#"),$A$32:$A$46,0),"")</f>
        <v>1</v>
      </c>
      <c r="AB6" s="24">
        <f>IFERROR(MATCH(TEXT($Y6,"#")&amp;"-"&amp;TEXT(AB$4,"#"),$A$32:$A$46,0),"")</f>
        <v>2</v>
      </c>
      <c r="AC6" s="24">
        <f>IFERROR(MATCH(TEXT($Y6,"#")&amp;"-"&amp;TEXT(AC$4,"#"),$A$32:$A$46,0),"")</f>
        <v>3</v>
      </c>
      <c r="AD6" s="24">
        <f>IFERROR(MATCH(TEXT($Y6,"#")&amp;"-"&amp;TEXT(AD$4,"#"),$A$32:$A$46,0),"")</f>
        <v>4</v>
      </c>
      <c r="AE6" s="24">
        <f>IFERROR(MATCH(TEXT($Y6,"#")&amp;"-"&amp;TEXT(AE$4,"#"),$A$32:$A$46,0),"")</f>
        <v>5</v>
      </c>
    </row>
    <row r="7" spans="1:31" x14ac:dyDescent="0.25">
      <c r="A7" s="14">
        <v>2</v>
      </c>
      <c r="B7" s="14"/>
      <c r="C7" s="14"/>
      <c r="D7" s="2" t="str">
        <f>"α"&amp;INDEX(SubNums,3)</f>
        <v>α₂</v>
      </c>
      <c r="E7" s="17">
        <f>F6</f>
        <v>2</v>
      </c>
      <c r="F7" s="17">
        <v>5</v>
      </c>
      <c r="G7" s="8">
        <f ca="1">AVERAGE(OFFSET('(7) Trnd Mod Matrix Exp&amp;Dev&amp;Pay'!$F$3,E7,0,F7-E7,1))</f>
        <v>-10.127278878416263</v>
      </c>
      <c r="I7" s="2">
        <v>2</v>
      </c>
      <c r="J7" s="3"/>
      <c r="K7" s="8">
        <f ca="1">IF(AA7&lt;&gt;"",INDEX($O$32:$O$46,AA7),"")</f>
        <v>14511.751334054743</v>
      </c>
      <c r="L7" s="8">
        <f ca="1">IF(AB7&lt;&gt;"",INDEX($O$32:$O$46,AB7),"")</f>
        <v>25016.19961042947</v>
      </c>
      <c r="M7" s="8">
        <f ca="1">IF(AC7&lt;&gt;"",INDEX($O$32:$O$46,AC7),"")</f>
        <v>12604.897288348133</v>
      </c>
      <c r="N7" s="8">
        <f ca="1">IF(AD7&lt;&gt;"",INDEX($O$32:$O$46,AD7),"")</f>
        <v>6351.2219331495198</v>
      </c>
      <c r="O7" s="9"/>
      <c r="Q7" s="2">
        <v>2</v>
      </c>
      <c r="R7" s="3"/>
      <c r="S7" s="8">
        <f ca="1">'(4) Mult with Exp &amp; Dev &amp; Pay'!I7-K7</f>
        <v>161.52543094525572</v>
      </c>
      <c r="T7" s="8">
        <f ca="1">'(4) Mult with Exp &amp; Dev &amp; Pay'!J7-L7</f>
        <v>-1593.1197854294696</v>
      </c>
      <c r="U7" s="8">
        <f ca="1">'(4) Mult with Exp &amp; Dev &amp; Pay'!K7-M7</f>
        <v>-960.90716834813247</v>
      </c>
      <c r="V7" s="8">
        <f ca="1">'(4) Mult with Exp &amp; Dev &amp; Pay'!L7-N7</f>
        <v>388.12364185048136</v>
      </c>
      <c r="W7" s="9"/>
      <c r="Y7" s="2">
        <v>2</v>
      </c>
      <c r="Z7" s="3"/>
      <c r="AA7" s="24">
        <f>IFERROR(MATCH(TEXT($Y7,"#")&amp;"-"&amp;TEXT(AA$4,"#"),$A$32:$A$46,0),"")</f>
        <v>6</v>
      </c>
      <c r="AB7" s="24">
        <f>IFERROR(MATCH(TEXT($Y7,"#")&amp;"-"&amp;TEXT(AB$4,"#"),$A$32:$A$46,0),"")</f>
        <v>7</v>
      </c>
      <c r="AC7" s="24">
        <f>IFERROR(MATCH(TEXT($Y7,"#")&amp;"-"&amp;TEXT(AC$4,"#"),$A$32:$A$46,0),"")</f>
        <v>8</v>
      </c>
      <c r="AD7" s="24">
        <f>IFERROR(MATCH(TEXT($Y7,"#")&amp;"-"&amp;TEXT(AD$4,"#"),$A$32:$A$46,0),"")</f>
        <v>9</v>
      </c>
      <c r="AE7" s="1"/>
    </row>
    <row r="8" spans="1:31" x14ac:dyDescent="0.25">
      <c r="A8" s="14">
        <v>2</v>
      </c>
      <c r="B8" s="14"/>
      <c r="C8" s="14"/>
      <c r="D8" s="2" t="str">
        <f>"β"&amp;INDEX(SubNums,2)</f>
        <v>β₁</v>
      </c>
      <c r="E8" s="17">
        <v>1</v>
      </c>
      <c r="F8" s="17">
        <v>2</v>
      </c>
      <c r="G8" s="8">
        <f ca="1">'(7) Trnd Mod Matrix Exp&amp;Dev&amp;Pay'!F8</f>
        <v>-9.6646851556760822</v>
      </c>
      <c r="I8" s="2">
        <v>3</v>
      </c>
      <c r="J8" s="3"/>
      <c r="K8" s="8">
        <f ca="1">IF(AA8&lt;&gt;"",INDEX($O$32:$O$46,AA8),"")</f>
        <v>15751.409867999977</v>
      </c>
      <c r="L8" s="8">
        <f ca="1">IF(AB8&lt;&gt;"",INDEX($O$32:$O$46,AB8),"")</f>
        <v>27153.194975087597</v>
      </c>
      <c r="M8" s="8">
        <f ca="1">IF(AC8&lt;&gt;"",INDEX($O$32:$O$46,AC8),"")</f>
        <v>13681.663843487133</v>
      </c>
      <c r="N8" s="9"/>
      <c r="O8" s="9"/>
      <c r="Q8" s="2">
        <v>3</v>
      </c>
      <c r="R8" s="3"/>
      <c r="S8" s="8">
        <f ca="1">'(4) Mult with Exp &amp; Dev &amp; Pay'!I8-K8</f>
        <v>2.3646862246096134E-11</v>
      </c>
      <c r="T8" s="8">
        <f ca="1">'(4) Mult with Exp &amp; Dev &amp; Pay'!J8-L8</f>
        <v>-1475.0886950875974</v>
      </c>
      <c r="U8" s="8">
        <f ca="1">'(4) Mult with Exp &amp; Dev &amp; Pay'!K8-M8</f>
        <v>2494.4608765128669</v>
      </c>
      <c r="V8" s="9"/>
      <c r="W8" s="9"/>
      <c r="Y8" s="2">
        <v>3</v>
      </c>
      <c r="Z8" s="3"/>
      <c r="AA8" s="24">
        <f>IFERROR(MATCH(TEXT($Y8,"#")&amp;"-"&amp;TEXT(AA$4,"#"),$A$32:$A$46,0),"")</f>
        <v>10</v>
      </c>
      <c r="AB8" s="24">
        <f>IFERROR(MATCH(TEXT($Y8,"#")&amp;"-"&amp;TEXT(AB$4,"#"),$A$32:$A$46,0),"")</f>
        <v>11</v>
      </c>
      <c r="AC8" s="24">
        <f>IFERROR(MATCH(TEXT($Y8,"#")&amp;"-"&amp;TEXT(AC$4,"#"),$A$32:$A$46,0),"")</f>
        <v>12</v>
      </c>
      <c r="AD8" s="1"/>
      <c r="AE8" s="1"/>
    </row>
    <row r="9" spans="1:31" x14ac:dyDescent="0.25">
      <c r="A9" s="14">
        <v>2</v>
      </c>
      <c r="B9" s="14"/>
      <c r="C9" s="14"/>
      <c r="D9" s="2" t="str">
        <f>"β"&amp;INDEX(SubNums,3)</f>
        <v>β₂</v>
      </c>
      <c r="E9" s="17">
        <v>2</v>
      </c>
      <c r="F9" s="17">
        <v>4</v>
      </c>
      <c r="G9" s="8">
        <f ca="1">AVERAGE('(7) Trnd Mod Matrix Exp&amp;Dev&amp;Pay'!F9:F10)</f>
        <v>-10.894688184391239</v>
      </c>
      <c r="I9" s="2">
        <v>4</v>
      </c>
      <c r="J9" s="3"/>
      <c r="K9" s="8">
        <f ca="1">IF(AA9&lt;&gt;"",INDEX($O$32:$O$46,AA9),"")</f>
        <v>17096.965563866459</v>
      </c>
      <c r="L9" s="8">
        <f ca="1">IF(AB9&lt;&gt;"",INDEX($O$32:$O$46,AB9),"")</f>
        <v>29472.742016646571</v>
      </c>
      <c r="M9" s="9"/>
      <c r="N9" s="9"/>
      <c r="O9" s="9"/>
      <c r="Q9" s="2">
        <v>4</v>
      </c>
      <c r="R9" s="3"/>
      <c r="S9" s="8">
        <f ca="1">'(4) Mult with Exp &amp; Dev &amp; Pay'!I9-K9</f>
        <v>-1156.3779538664585</v>
      </c>
      <c r="T9" s="8">
        <f ca="1">'(4) Mult with Exp &amp; Dev &amp; Pay'!J9-L9</f>
        <v>3458.0026083534285</v>
      </c>
      <c r="U9" s="9"/>
      <c r="V9" s="9"/>
      <c r="W9" s="9"/>
      <c r="Y9" s="2">
        <v>4</v>
      </c>
      <c r="Z9" s="3"/>
      <c r="AA9" s="24">
        <f>IFERROR(MATCH(TEXT($Y9,"#")&amp;"-"&amp;TEXT(AA$4,"#"),$A$32:$A$46,0),"")</f>
        <v>13</v>
      </c>
      <c r="AB9" s="24">
        <f>IFERROR(MATCH(TEXT($Y9,"#")&amp;"-"&amp;TEXT(AB$4,"#"),$A$32:$A$46,0),"")</f>
        <v>14</v>
      </c>
      <c r="AC9" s="1"/>
      <c r="AD9" s="1"/>
      <c r="AE9" s="1"/>
    </row>
    <row r="10" spans="1:31" x14ac:dyDescent="0.25">
      <c r="A10" s="14">
        <v>3</v>
      </c>
      <c r="B10" s="14"/>
      <c r="C10" s="14"/>
      <c r="D10" s="2" t="str">
        <f>"β"&amp;INDEX(SubNums,4)</f>
        <v>β₃</v>
      </c>
      <c r="E10" s="17">
        <v>4</v>
      </c>
      <c r="F10" s="17">
        <v>5</v>
      </c>
      <c r="G10" s="8">
        <f ca="1">'(7) Trnd Mod Matrix Exp&amp;Dev&amp;Pay'!F11</f>
        <v>-12.169491028684511</v>
      </c>
      <c r="I10" s="2">
        <v>5</v>
      </c>
      <c r="J10" s="3"/>
      <c r="K10" s="8">
        <f ca="1">IF(AA10&lt;&gt;"",INDEX($O$32:$O$46,AA10),"")</f>
        <v>18557.464629618633</v>
      </c>
      <c r="L10" s="9"/>
      <c r="M10" s="9"/>
      <c r="N10" s="9"/>
      <c r="O10" s="9"/>
      <c r="Q10" s="2">
        <v>5</v>
      </c>
      <c r="R10" s="3"/>
      <c r="S10" s="8">
        <f ca="1">'(4) Mult with Exp &amp; Dev &amp; Pay'!I10-K10</f>
        <v>1134.0480353813691</v>
      </c>
      <c r="T10" s="9"/>
      <c r="U10" s="9"/>
      <c r="V10" s="9"/>
      <c r="W10" s="9"/>
      <c r="Y10" s="2">
        <v>5</v>
      </c>
      <c r="Z10" s="3"/>
      <c r="AA10" s="24">
        <f>IFERROR(MATCH(TEXT($Y10,"#")&amp;"-"&amp;TEXT(AA$4,"#"),$A$32:$A$46,0),"")</f>
        <v>15</v>
      </c>
      <c r="AB10" s="1"/>
      <c r="AC10" s="1"/>
      <c r="AD10" s="1"/>
      <c r="AE10" s="1"/>
    </row>
    <row r="11" spans="1:31" x14ac:dyDescent="0.25">
      <c r="A11" s="14"/>
      <c r="B11" s="14"/>
      <c r="C11" s="14"/>
      <c r="D11" s="2" t="str">
        <f>"γ"&amp;INDEX(SubNums,2)</f>
        <v>γ₁</v>
      </c>
      <c r="E11" s="17">
        <v>1</v>
      </c>
      <c r="F11" s="17">
        <v>5</v>
      </c>
      <c r="G11" s="8">
        <f ca="1">AVERAGE('(7) Trnd Mod Matrix Exp&amp;Dev&amp;Pay'!F12:F15)</f>
        <v>10.209249997078921</v>
      </c>
    </row>
    <row r="12" spans="1:31" x14ac:dyDescent="0.25">
      <c r="A12" s="14"/>
      <c r="B12" s="14"/>
      <c r="C12" s="14"/>
    </row>
    <row r="13" spans="1:31" x14ac:dyDescent="0.25">
      <c r="A13" s="14"/>
      <c r="B13" s="14"/>
      <c r="C13" s="14"/>
      <c r="D13" s="11" t="s">
        <v>127</v>
      </c>
    </row>
    <row r="14" spans="1:31" x14ac:dyDescent="0.25">
      <c r="A14" s="14"/>
      <c r="B14" s="26" t="s">
        <v>126</v>
      </c>
      <c r="C14" s="26"/>
      <c r="D14" s="2"/>
      <c r="E14" s="26" t="s">
        <v>0</v>
      </c>
      <c r="F14" s="26"/>
      <c r="G14" s="26"/>
      <c r="H14" s="26"/>
      <c r="I14" s="26"/>
    </row>
    <row r="15" spans="1:31" x14ac:dyDescent="0.25">
      <c r="A15" s="14"/>
      <c r="B15" s="2" t="s">
        <v>124</v>
      </c>
      <c r="C15" s="2" t="s">
        <v>125</v>
      </c>
      <c r="D15" s="2" t="s">
        <v>117</v>
      </c>
      <c r="E15" s="2">
        <v>1</v>
      </c>
      <c r="F15" s="2">
        <v>2</v>
      </c>
      <c r="G15" s="2">
        <v>3</v>
      </c>
      <c r="H15" s="2">
        <v>4</v>
      </c>
      <c r="I15" s="2">
        <v>5</v>
      </c>
    </row>
    <row r="16" spans="1:31" x14ac:dyDescent="0.25">
      <c r="A16" s="14">
        <v>1</v>
      </c>
      <c r="B16" s="17">
        <f t="shared" ref="B16:B21" si="0">MIN(INDEX($J$25:$J$27,A5),F6)</f>
        <v>2</v>
      </c>
      <c r="C16" s="17">
        <f t="shared" ref="C16:C21" si="1">MAX(INDEX($J$25:$J$27,A5),E6)</f>
        <v>3</v>
      </c>
      <c r="D16" s="2" t="str">
        <f>"α"&amp;INDEX(SubNums,2)</f>
        <v>α₁</v>
      </c>
      <c r="E16" s="17">
        <f t="shared" ref="E16:I21" si="2">IF(INDEX($E$25:$I$27,$A16,E$15),MIN(MAX(E$15,$E6)-$B16,0),MAX(MIN(E$15,$F6)-$C16,0))</f>
        <v>-1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</row>
    <row r="17" spans="1:15" x14ac:dyDescent="0.25">
      <c r="A17" s="14">
        <v>1</v>
      </c>
      <c r="B17" s="17">
        <f t="shared" si="0"/>
        <v>3</v>
      </c>
      <c r="C17" s="17">
        <f t="shared" si="1"/>
        <v>3</v>
      </c>
      <c r="D17" s="2" t="str">
        <f>"α"&amp;INDEX(SubNums,3)</f>
        <v>α₂</v>
      </c>
      <c r="E17" s="17">
        <f t="shared" si="2"/>
        <v>-1</v>
      </c>
      <c r="F17" s="17">
        <f t="shared" si="2"/>
        <v>-1</v>
      </c>
      <c r="G17" s="17">
        <f t="shared" si="2"/>
        <v>0</v>
      </c>
      <c r="H17" s="17">
        <f t="shared" si="2"/>
        <v>1</v>
      </c>
      <c r="I17" s="17">
        <f t="shared" si="2"/>
        <v>2</v>
      </c>
    </row>
    <row r="18" spans="1:15" x14ac:dyDescent="0.25">
      <c r="A18" s="14">
        <v>2</v>
      </c>
      <c r="B18" s="17">
        <f t="shared" si="0"/>
        <v>2</v>
      </c>
      <c r="C18" s="17">
        <f t="shared" si="1"/>
        <v>2</v>
      </c>
      <c r="D18" s="2" t="str">
        <f>"β"&amp;INDEX(SubNums,2)</f>
        <v>β₁</v>
      </c>
      <c r="E18" s="17">
        <f t="shared" si="2"/>
        <v>-1</v>
      </c>
      <c r="F18" s="17">
        <f t="shared" si="2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</row>
    <row r="19" spans="1:15" x14ac:dyDescent="0.25">
      <c r="A19" s="14">
        <v>2</v>
      </c>
      <c r="B19" s="17">
        <f t="shared" si="0"/>
        <v>2</v>
      </c>
      <c r="C19" s="17">
        <f t="shared" si="1"/>
        <v>2</v>
      </c>
      <c r="D19" s="2" t="str">
        <f>"β"&amp;INDEX(SubNums,3)</f>
        <v>β₂</v>
      </c>
      <c r="E19" s="17">
        <f t="shared" si="2"/>
        <v>0</v>
      </c>
      <c r="F19" s="17">
        <f t="shared" si="2"/>
        <v>0</v>
      </c>
      <c r="G19" s="17">
        <f t="shared" si="2"/>
        <v>1</v>
      </c>
      <c r="H19" s="17">
        <f t="shared" si="2"/>
        <v>2</v>
      </c>
      <c r="I19" s="17">
        <f t="shared" si="2"/>
        <v>2</v>
      </c>
    </row>
    <row r="20" spans="1:15" x14ac:dyDescent="0.25">
      <c r="A20" s="14">
        <v>2</v>
      </c>
      <c r="B20" s="17">
        <f t="shared" si="0"/>
        <v>2</v>
      </c>
      <c r="C20" s="17">
        <f t="shared" si="1"/>
        <v>4</v>
      </c>
      <c r="D20" s="2" t="str">
        <f>"β"&amp;INDEX(SubNums,4)</f>
        <v>β₃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1</v>
      </c>
    </row>
    <row r="21" spans="1:15" x14ac:dyDescent="0.25">
      <c r="A21" s="14">
        <v>3</v>
      </c>
      <c r="B21" s="17">
        <f t="shared" si="0"/>
        <v>3</v>
      </c>
      <c r="C21" s="17">
        <f t="shared" si="1"/>
        <v>3</v>
      </c>
      <c r="D21" s="2" t="str">
        <f>"γ"&amp;INDEX(SubNums,2)</f>
        <v>γ₁</v>
      </c>
      <c r="E21" s="17">
        <f t="shared" si="2"/>
        <v>-2</v>
      </c>
      <c r="F21" s="17">
        <f t="shared" si="2"/>
        <v>-1</v>
      </c>
      <c r="G21" s="17">
        <f t="shared" si="2"/>
        <v>0</v>
      </c>
      <c r="H21" s="17">
        <f t="shared" si="2"/>
        <v>1</v>
      </c>
      <c r="I21" s="17">
        <f t="shared" si="2"/>
        <v>2</v>
      </c>
    </row>
    <row r="23" spans="1:15" hidden="1" x14ac:dyDescent="0.25">
      <c r="D23" s="2"/>
      <c r="E23" s="26" t="s">
        <v>123</v>
      </c>
      <c r="F23" s="26"/>
      <c r="G23" s="26"/>
      <c r="H23" s="26"/>
      <c r="I23" s="26"/>
      <c r="J23" s="26"/>
    </row>
    <row r="24" spans="1:15" hidden="1" x14ac:dyDescent="0.25">
      <c r="D24" s="2"/>
      <c r="E24" s="2">
        <v>1</v>
      </c>
      <c r="F24" s="2">
        <v>2</v>
      </c>
      <c r="G24" s="2">
        <v>3</v>
      </c>
      <c r="H24" s="2">
        <v>4</v>
      </c>
      <c r="I24" s="2">
        <v>5</v>
      </c>
      <c r="J24" s="2" t="s">
        <v>122</v>
      </c>
    </row>
    <row r="25" spans="1:15" hidden="1" x14ac:dyDescent="0.25">
      <c r="D25" s="2" t="s">
        <v>14</v>
      </c>
      <c r="E25" s="5" t="b">
        <f t="shared" ref="E25:I27" si="3">E$24&lt;$J25</f>
        <v>1</v>
      </c>
      <c r="F25" s="5" t="b">
        <f t="shared" si="3"/>
        <v>1</v>
      </c>
      <c r="G25" s="5" t="b">
        <f t="shared" si="3"/>
        <v>0</v>
      </c>
      <c r="H25" s="5" t="b">
        <f t="shared" si="3"/>
        <v>0</v>
      </c>
      <c r="I25" s="5" t="b">
        <f t="shared" si="3"/>
        <v>0</v>
      </c>
      <c r="J25" s="27">
        <f>'(4) Mult with Exp &amp; Dev &amp; Pay'!$A$42</f>
        <v>3</v>
      </c>
    </row>
    <row r="26" spans="1:15" hidden="1" x14ac:dyDescent="0.25">
      <c r="D26" s="2" t="s">
        <v>13</v>
      </c>
      <c r="E26" s="5" t="b">
        <f t="shared" si="3"/>
        <v>1</v>
      </c>
      <c r="F26" s="5" t="b">
        <f t="shared" si="3"/>
        <v>0</v>
      </c>
      <c r="G26" s="5" t="b">
        <f t="shared" si="3"/>
        <v>0</v>
      </c>
      <c r="H26" s="5" t="b">
        <f t="shared" si="3"/>
        <v>0</v>
      </c>
      <c r="I26" s="5" t="b">
        <f t="shared" si="3"/>
        <v>0</v>
      </c>
      <c r="J26" s="27">
        <f>'(4) Mult with Exp &amp; Dev &amp; Pay'!$A$43</f>
        <v>2</v>
      </c>
    </row>
    <row r="27" spans="1:15" hidden="1" x14ac:dyDescent="0.25">
      <c r="D27" s="2" t="s">
        <v>121</v>
      </c>
      <c r="E27" s="5" t="b">
        <f t="shared" si="3"/>
        <v>1</v>
      </c>
      <c r="F27" s="5" t="b">
        <f t="shared" si="3"/>
        <v>1</v>
      </c>
      <c r="G27" s="5" t="b">
        <f t="shared" si="3"/>
        <v>0</v>
      </c>
      <c r="H27" s="5" t="b">
        <f t="shared" si="3"/>
        <v>0</v>
      </c>
      <c r="I27" s="5" t="b">
        <f t="shared" si="3"/>
        <v>0</v>
      </c>
      <c r="J27" s="27">
        <f>'(4) Mult with Exp &amp; Dev &amp; Pay'!$A$44</f>
        <v>3</v>
      </c>
    </row>
    <row r="28" spans="1:15" hidden="1" x14ac:dyDescent="0.25"/>
    <row r="29" spans="1:15" x14ac:dyDescent="0.25">
      <c r="D29" s="11" t="s">
        <v>103</v>
      </c>
      <c r="G29" s="11" t="s">
        <v>108</v>
      </c>
      <c r="N29" s="11" t="s">
        <v>106</v>
      </c>
    </row>
    <row r="30" spans="1:15" hidden="1" x14ac:dyDescent="0.25">
      <c r="D30" s="11"/>
      <c r="G30" s="28">
        <v>1</v>
      </c>
      <c r="H30" s="14">
        <v>2</v>
      </c>
      <c r="I30" s="14">
        <v>3</v>
      </c>
      <c r="J30" s="14">
        <v>4</v>
      </c>
      <c r="K30" s="14">
        <v>5</v>
      </c>
      <c r="L30" s="14">
        <v>6</v>
      </c>
      <c r="N30" s="11"/>
    </row>
    <row r="31" spans="1:15" ht="17.25" x14ac:dyDescent="0.25">
      <c r="D31" s="19" t="s">
        <v>104</v>
      </c>
      <c r="E31" s="19" t="s">
        <v>105</v>
      </c>
      <c r="F31" s="14"/>
      <c r="G31" s="19" t="str">
        <f t="array" ref="G31:L31">TRANSPOSE(D6:D11)</f>
        <v>α₁</v>
      </c>
      <c r="H31" s="19" t="str">
        <v>α₂</v>
      </c>
      <c r="I31" s="19" t="str">
        <v>β₁</v>
      </c>
      <c r="J31" s="19" t="str">
        <v>β₂</v>
      </c>
      <c r="K31" s="19" t="str">
        <v>β₃</v>
      </c>
      <c r="L31" s="19" t="str">
        <v>γ₁</v>
      </c>
      <c r="N31" s="19" t="s">
        <v>113</v>
      </c>
      <c r="O31" s="19" t="s">
        <v>112</v>
      </c>
    </row>
    <row r="32" spans="1:15" x14ac:dyDescent="0.25">
      <c r="A32" s="14" t="str">
        <f>TEXT(D32,"#")&amp;"-"&amp;TEXT(E32,"#")</f>
        <v>1-1</v>
      </c>
      <c r="B32" s="14"/>
      <c r="C32" s="14"/>
      <c r="D32" s="23">
        <v>1</v>
      </c>
      <c r="E32" s="23">
        <v>1</v>
      </c>
      <c r="G32" s="23">
        <f t="shared" ref="G32:H46" si="4">INDEX($E$16:$I$21,G$30,$D32)</f>
        <v>-1</v>
      </c>
      <c r="H32" s="23">
        <f t="shared" si="4"/>
        <v>-1</v>
      </c>
      <c r="I32" s="23">
        <f t="shared" ref="I32:K46" si="5">INDEX($E$16:$I$21,I$30,$E32)</f>
        <v>-1</v>
      </c>
      <c r="J32" s="23">
        <f t="shared" si="5"/>
        <v>0</v>
      </c>
      <c r="K32" s="23">
        <f t="shared" si="5"/>
        <v>0</v>
      </c>
      <c r="L32" s="23">
        <f t="shared" ref="L32:L46" si="6">INDEX($E$16:$I$21,L$30,$D32+$E32-1)</f>
        <v>-2</v>
      </c>
      <c r="N32" s="8">
        <f t="array" aca="1" ref="N32:N46" ca="1">MMULT(G32:L46,G6:G11)</f>
        <v>9.6875288245432642</v>
      </c>
      <c r="O32" s="8">
        <f ca="1">EXP(N32)</f>
        <v>16115.371137457081</v>
      </c>
    </row>
    <row r="33" spans="1:15" x14ac:dyDescent="0.25">
      <c r="A33" s="14" t="str">
        <f t="shared" ref="A33:A46" si="7">TEXT(D33,"#")&amp;"-"&amp;TEXT(E33,"#")</f>
        <v>1-2</v>
      </c>
      <c r="B33" s="14"/>
      <c r="C33" s="14"/>
      <c r="D33" s="23">
        <f>D32+IF(D32+E32=6,1,0)</f>
        <v>1</v>
      </c>
      <c r="E33" s="23">
        <f>IF(D32=D33,E32+1,1)</f>
        <v>2</v>
      </c>
      <c r="G33" s="23">
        <f t="shared" si="4"/>
        <v>-1</v>
      </c>
      <c r="H33" s="23">
        <f t="shared" si="4"/>
        <v>-1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6"/>
        <v>-1</v>
      </c>
      <c r="N33" s="8">
        <f ca="1"/>
        <v>10.232093665946103</v>
      </c>
      <c r="O33" s="8">
        <f t="shared" ref="O33:O46" ca="1" si="8">EXP(N33)</f>
        <v>27780.612545690372</v>
      </c>
    </row>
    <row r="34" spans="1:15" x14ac:dyDescent="0.25">
      <c r="A34" s="14" t="str">
        <f t="shared" si="7"/>
        <v>1-3</v>
      </c>
      <c r="B34" s="14"/>
      <c r="C34" s="14"/>
      <c r="D34" s="23">
        <f t="shared" ref="D34:D46" si="9">D33+IF(D33+E33=6,1,0)</f>
        <v>1</v>
      </c>
      <c r="E34" s="23">
        <f t="shared" ref="E34:E46" si="10">IF(D33=D34,E33+1,1)</f>
        <v>3</v>
      </c>
      <c r="G34" s="23">
        <f t="shared" si="4"/>
        <v>-1</v>
      </c>
      <c r="H34" s="23">
        <f t="shared" si="4"/>
        <v>-1</v>
      </c>
      <c r="I34" s="23">
        <f t="shared" si="5"/>
        <v>0</v>
      </c>
      <c r="J34" s="23">
        <f t="shared" si="5"/>
        <v>1</v>
      </c>
      <c r="K34" s="23">
        <f t="shared" si="5"/>
        <v>0</v>
      </c>
      <c r="L34" s="23">
        <f t="shared" si="6"/>
        <v>0</v>
      </c>
      <c r="N34" s="8">
        <f ca="1"/>
        <v>9.5466554786337845</v>
      </c>
      <c r="O34" s="8">
        <f t="shared" ca="1" si="8"/>
        <v>13997.80035332917</v>
      </c>
    </row>
    <row r="35" spans="1:15" x14ac:dyDescent="0.25">
      <c r="A35" s="14" t="str">
        <f t="shared" si="7"/>
        <v>1-4</v>
      </c>
      <c r="B35" s="14"/>
      <c r="C35" s="14"/>
      <c r="D35" s="23">
        <f t="shared" si="9"/>
        <v>1</v>
      </c>
      <c r="E35" s="23">
        <f t="shared" si="10"/>
        <v>4</v>
      </c>
      <c r="G35" s="23">
        <f t="shared" si="4"/>
        <v>-1</v>
      </c>
      <c r="H35" s="23">
        <f t="shared" si="4"/>
        <v>-1</v>
      </c>
      <c r="I35" s="23">
        <f t="shared" si="5"/>
        <v>0</v>
      </c>
      <c r="J35" s="23">
        <f t="shared" si="5"/>
        <v>2</v>
      </c>
      <c r="K35" s="23">
        <f t="shared" si="5"/>
        <v>0</v>
      </c>
      <c r="L35" s="23">
        <f t="shared" si="6"/>
        <v>1</v>
      </c>
      <c r="N35" s="8">
        <f ca="1"/>
        <v>8.8612172913214664</v>
      </c>
      <c r="O35" s="8">
        <f t="shared" ca="1" si="8"/>
        <v>7053.0631536437568</v>
      </c>
    </row>
    <row r="36" spans="1:15" x14ac:dyDescent="0.25">
      <c r="A36" s="14" t="str">
        <f t="shared" si="7"/>
        <v>1-5</v>
      </c>
      <c r="B36" s="14"/>
      <c r="C36" s="14"/>
      <c r="D36" s="23">
        <f t="shared" si="9"/>
        <v>1</v>
      </c>
      <c r="E36" s="23">
        <f t="shared" si="10"/>
        <v>5</v>
      </c>
      <c r="G36" s="23">
        <f t="shared" si="4"/>
        <v>-1</v>
      </c>
      <c r="H36" s="23">
        <f t="shared" si="4"/>
        <v>-1</v>
      </c>
      <c r="I36" s="23">
        <f t="shared" si="5"/>
        <v>0</v>
      </c>
      <c r="J36" s="23">
        <f t="shared" si="5"/>
        <v>2</v>
      </c>
      <c r="K36" s="23">
        <f t="shared" si="5"/>
        <v>1</v>
      </c>
      <c r="L36" s="23">
        <f t="shared" si="6"/>
        <v>2</v>
      </c>
      <c r="N36" s="8">
        <f ca="1"/>
        <v>6.9009762597158755</v>
      </c>
      <c r="O36" s="8">
        <f t="shared" ca="1" si="8"/>
        <v>993.24390645096616</v>
      </c>
    </row>
    <row r="37" spans="1:15" x14ac:dyDescent="0.25">
      <c r="A37" s="14" t="str">
        <f t="shared" si="7"/>
        <v>2-1</v>
      </c>
      <c r="B37" s="14"/>
      <c r="C37" s="14"/>
      <c r="D37" s="23">
        <f t="shared" si="9"/>
        <v>2</v>
      </c>
      <c r="E37" s="23">
        <f t="shared" si="10"/>
        <v>1</v>
      </c>
      <c r="G37" s="23">
        <f t="shared" si="4"/>
        <v>0</v>
      </c>
      <c r="H37" s="23">
        <f t="shared" si="4"/>
        <v>-1</v>
      </c>
      <c r="I37" s="23">
        <f t="shared" si="5"/>
        <v>-1</v>
      </c>
      <c r="J37" s="23">
        <f t="shared" si="5"/>
        <v>0</v>
      </c>
      <c r="K37" s="23">
        <f t="shared" si="5"/>
        <v>0</v>
      </c>
      <c r="L37" s="23">
        <f t="shared" si="6"/>
        <v>-1</v>
      </c>
      <c r="N37" s="8">
        <f ca="1"/>
        <v>9.5827140370134245</v>
      </c>
      <c r="O37" s="8">
        <f t="shared" ca="1" si="8"/>
        <v>14511.751334054743</v>
      </c>
    </row>
    <row r="38" spans="1:15" x14ac:dyDescent="0.25">
      <c r="A38" s="14" t="str">
        <f t="shared" si="7"/>
        <v>2-2</v>
      </c>
      <c r="B38" s="14"/>
      <c r="C38" s="14"/>
      <c r="D38" s="23">
        <f t="shared" si="9"/>
        <v>2</v>
      </c>
      <c r="E38" s="23">
        <f t="shared" si="10"/>
        <v>2</v>
      </c>
      <c r="G38" s="23">
        <f t="shared" si="4"/>
        <v>0</v>
      </c>
      <c r="H38" s="23">
        <f t="shared" si="4"/>
        <v>-1</v>
      </c>
      <c r="I38" s="23">
        <f t="shared" si="5"/>
        <v>0</v>
      </c>
      <c r="J38" s="23">
        <f t="shared" si="5"/>
        <v>0</v>
      </c>
      <c r="K38" s="23">
        <f t="shared" si="5"/>
        <v>0</v>
      </c>
      <c r="L38" s="23">
        <f t="shared" si="6"/>
        <v>0</v>
      </c>
      <c r="N38" s="8">
        <f ca="1"/>
        <v>10.127278878416263</v>
      </c>
      <c r="O38" s="8">
        <f t="shared" ca="1" si="8"/>
        <v>25016.19961042947</v>
      </c>
    </row>
    <row r="39" spans="1:15" x14ac:dyDescent="0.25">
      <c r="A39" s="14" t="str">
        <f t="shared" si="7"/>
        <v>2-3</v>
      </c>
      <c r="B39" s="14"/>
      <c r="C39" s="14"/>
      <c r="D39" s="23">
        <f t="shared" si="9"/>
        <v>2</v>
      </c>
      <c r="E39" s="23">
        <f t="shared" si="10"/>
        <v>3</v>
      </c>
      <c r="G39" s="23">
        <f t="shared" si="4"/>
        <v>0</v>
      </c>
      <c r="H39" s="23">
        <f t="shared" si="4"/>
        <v>-1</v>
      </c>
      <c r="I39" s="23">
        <f t="shared" si="5"/>
        <v>0</v>
      </c>
      <c r="J39" s="23">
        <f t="shared" si="5"/>
        <v>1</v>
      </c>
      <c r="K39" s="23">
        <f t="shared" si="5"/>
        <v>0</v>
      </c>
      <c r="L39" s="23">
        <f t="shared" si="6"/>
        <v>1</v>
      </c>
      <c r="N39" s="8">
        <f ca="1"/>
        <v>9.4418406911039447</v>
      </c>
      <c r="O39" s="8">
        <f t="shared" ca="1" si="8"/>
        <v>12604.897288348133</v>
      </c>
    </row>
    <row r="40" spans="1:15" x14ac:dyDescent="0.25">
      <c r="A40" s="14" t="str">
        <f t="shared" si="7"/>
        <v>2-4</v>
      </c>
      <c r="B40" s="14"/>
      <c r="C40" s="14"/>
      <c r="D40" s="23">
        <f t="shared" si="9"/>
        <v>2</v>
      </c>
      <c r="E40" s="23">
        <f t="shared" si="10"/>
        <v>4</v>
      </c>
      <c r="G40" s="23">
        <f t="shared" si="4"/>
        <v>0</v>
      </c>
      <c r="H40" s="23">
        <f t="shared" si="4"/>
        <v>-1</v>
      </c>
      <c r="I40" s="23">
        <f t="shared" si="5"/>
        <v>0</v>
      </c>
      <c r="J40" s="23">
        <f t="shared" si="5"/>
        <v>2</v>
      </c>
      <c r="K40" s="23">
        <f t="shared" si="5"/>
        <v>0</v>
      </c>
      <c r="L40" s="23">
        <f t="shared" si="6"/>
        <v>2</v>
      </c>
      <c r="N40" s="8">
        <f ca="1"/>
        <v>8.7564025037916267</v>
      </c>
      <c r="O40" s="8">
        <f t="shared" ca="1" si="8"/>
        <v>6351.2219331495198</v>
      </c>
    </row>
    <row r="41" spans="1:15" x14ac:dyDescent="0.25">
      <c r="A41" s="14" t="str">
        <f t="shared" si="7"/>
        <v>3-1</v>
      </c>
      <c r="B41" s="14"/>
      <c r="C41" s="14"/>
      <c r="D41" s="23">
        <f t="shared" si="9"/>
        <v>3</v>
      </c>
      <c r="E41" s="23">
        <f t="shared" si="10"/>
        <v>1</v>
      </c>
      <c r="G41" s="23">
        <f t="shared" si="4"/>
        <v>0</v>
      </c>
      <c r="H41" s="23">
        <f t="shared" si="4"/>
        <v>0</v>
      </c>
      <c r="I41" s="23">
        <f t="shared" si="5"/>
        <v>-1</v>
      </c>
      <c r="J41" s="23">
        <f t="shared" si="5"/>
        <v>0</v>
      </c>
      <c r="K41" s="23">
        <f t="shared" si="5"/>
        <v>0</v>
      </c>
      <c r="L41" s="23">
        <f t="shared" si="6"/>
        <v>0</v>
      </c>
      <c r="N41" s="8">
        <f ca="1"/>
        <v>9.6646851556760822</v>
      </c>
      <c r="O41" s="8">
        <f t="shared" ca="1" si="8"/>
        <v>15751.409867999977</v>
      </c>
    </row>
    <row r="42" spans="1:15" x14ac:dyDescent="0.25">
      <c r="A42" s="14" t="str">
        <f t="shared" si="7"/>
        <v>3-2</v>
      </c>
      <c r="B42" s="14"/>
      <c r="C42" s="14"/>
      <c r="D42" s="23">
        <f t="shared" si="9"/>
        <v>3</v>
      </c>
      <c r="E42" s="23">
        <f t="shared" si="10"/>
        <v>2</v>
      </c>
      <c r="G42" s="23">
        <f t="shared" si="4"/>
        <v>0</v>
      </c>
      <c r="H42" s="23">
        <f t="shared" si="4"/>
        <v>0</v>
      </c>
      <c r="I42" s="23">
        <f t="shared" si="5"/>
        <v>0</v>
      </c>
      <c r="J42" s="23">
        <f t="shared" si="5"/>
        <v>0</v>
      </c>
      <c r="K42" s="23">
        <f t="shared" si="5"/>
        <v>0</v>
      </c>
      <c r="L42" s="23">
        <f t="shared" si="6"/>
        <v>1</v>
      </c>
      <c r="N42" s="8">
        <f ca="1"/>
        <v>10.209249997078921</v>
      </c>
      <c r="O42" s="8">
        <f t="shared" ca="1" si="8"/>
        <v>27153.194975087597</v>
      </c>
    </row>
    <row r="43" spans="1:15" x14ac:dyDescent="0.25">
      <c r="A43" s="14" t="str">
        <f t="shared" si="7"/>
        <v>3-3</v>
      </c>
      <c r="B43" s="14"/>
      <c r="C43" s="14"/>
      <c r="D43" s="23">
        <f t="shared" si="9"/>
        <v>3</v>
      </c>
      <c r="E43" s="23">
        <f t="shared" si="10"/>
        <v>3</v>
      </c>
      <c r="G43" s="23">
        <f t="shared" si="4"/>
        <v>0</v>
      </c>
      <c r="H43" s="23">
        <f t="shared" si="4"/>
        <v>0</v>
      </c>
      <c r="I43" s="23">
        <f t="shared" si="5"/>
        <v>0</v>
      </c>
      <c r="J43" s="23">
        <f t="shared" si="5"/>
        <v>1</v>
      </c>
      <c r="K43" s="23">
        <f t="shared" si="5"/>
        <v>0</v>
      </c>
      <c r="L43" s="23">
        <f t="shared" si="6"/>
        <v>2</v>
      </c>
      <c r="N43" s="8">
        <f ca="1"/>
        <v>9.5238118097666025</v>
      </c>
      <c r="O43" s="8">
        <f t="shared" ca="1" si="8"/>
        <v>13681.663843487133</v>
      </c>
    </row>
    <row r="44" spans="1:15" x14ac:dyDescent="0.25">
      <c r="A44" s="14" t="str">
        <f t="shared" si="7"/>
        <v>4-1</v>
      </c>
      <c r="B44" s="14"/>
      <c r="C44" s="14"/>
      <c r="D44" s="23">
        <f t="shared" si="9"/>
        <v>4</v>
      </c>
      <c r="E44" s="23">
        <f t="shared" si="10"/>
        <v>1</v>
      </c>
      <c r="G44" s="23">
        <f t="shared" si="4"/>
        <v>0</v>
      </c>
      <c r="H44" s="23">
        <f t="shared" si="4"/>
        <v>1</v>
      </c>
      <c r="I44" s="23">
        <f t="shared" si="5"/>
        <v>-1</v>
      </c>
      <c r="J44" s="23">
        <f t="shared" si="5"/>
        <v>0</v>
      </c>
      <c r="K44" s="23">
        <f t="shared" si="5"/>
        <v>0</v>
      </c>
      <c r="L44" s="23">
        <f t="shared" si="6"/>
        <v>1</v>
      </c>
      <c r="N44" s="8">
        <f ca="1"/>
        <v>9.7466562743387399</v>
      </c>
      <c r="O44" s="8">
        <f t="shared" ca="1" si="8"/>
        <v>17096.965563866459</v>
      </c>
    </row>
    <row r="45" spans="1:15" x14ac:dyDescent="0.25">
      <c r="A45" s="14" t="str">
        <f t="shared" si="7"/>
        <v>4-2</v>
      </c>
      <c r="B45" s="14"/>
      <c r="C45" s="14"/>
      <c r="D45" s="23">
        <f t="shared" si="9"/>
        <v>4</v>
      </c>
      <c r="E45" s="23">
        <f t="shared" si="10"/>
        <v>2</v>
      </c>
      <c r="G45" s="23">
        <f t="shared" si="4"/>
        <v>0</v>
      </c>
      <c r="H45" s="23">
        <f t="shared" si="4"/>
        <v>1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6"/>
        <v>2</v>
      </c>
      <c r="N45" s="8">
        <f ca="1"/>
        <v>10.291221115741578</v>
      </c>
      <c r="O45" s="8">
        <f t="shared" ca="1" si="8"/>
        <v>29472.742016646571</v>
      </c>
    </row>
    <row r="46" spans="1:15" x14ac:dyDescent="0.25">
      <c r="A46" s="14" t="str">
        <f t="shared" si="7"/>
        <v>5-1</v>
      </c>
      <c r="B46" s="14"/>
      <c r="C46" s="14"/>
      <c r="D46" s="23">
        <f t="shared" si="9"/>
        <v>5</v>
      </c>
      <c r="E46" s="23">
        <f t="shared" si="10"/>
        <v>1</v>
      </c>
      <c r="G46" s="23">
        <f t="shared" si="4"/>
        <v>0</v>
      </c>
      <c r="H46" s="23">
        <f t="shared" si="4"/>
        <v>2</v>
      </c>
      <c r="I46" s="23">
        <f t="shared" si="5"/>
        <v>-1</v>
      </c>
      <c r="J46" s="23">
        <f t="shared" si="5"/>
        <v>0</v>
      </c>
      <c r="K46" s="23">
        <f t="shared" si="5"/>
        <v>0</v>
      </c>
      <c r="L46" s="23">
        <f t="shared" si="6"/>
        <v>2</v>
      </c>
      <c r="N46" s="8">
        <f ca="1"/>
        <v>9.8286273930013976</v>
      </c>
      <c r="O46" s="8">
        <f t="shared" ca="1" si="8"/>
        <v>18557.464629618633</v>
      </c>
    </row>
  </sheetData>
  <dataValidations count="1">
    <dataValidation type="whole" showInputMessage="1" showErrorMessage="1" errorTitle="2, 3, or 4" error="Enter whole number between 2 and 4." promptTitle="2, 3, or 4" prompt="Enter whole number between 2 and 4." sqref="F6">
      <formula1>2</formula1>
      <formula2>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(1) Mult with Exp &amp; Dev</vt:lpstr>
      <vt:lpstr>(2) Log-Linear with Exp &amp; Dev</vt:lpstr>
      <vt:lpstr>(3) Model Matrix Exp &amp; Dev</vt:lpstr>
      <vt:lpstr>(4) Mult with Exp &amp; Dev &amp; Pay</vt:lpstr>
      <vt:lpstr>(5) LogLin with Exp &amp; Dev &amp; Pay</vt:lpstr>
      <vt:lpstr>(6) Mod Matrix Exp &amp; Dev &amp; Pay</vt:lpstr>
      <vt:lpstr>(7) Trnd Mod Matrix Exp&amp;Dev&amp;Pay</vt:lpstr>
      <vt:lpstr>(8) TrndGrp ModMtrx Exp&amp;Dev&amp;Pay</vt:lpstr>
    </vt:vector>
  </TitlesOfParts>
  <Company>Bryant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Hartl</dc:creator>
  <dc:description>(c) Spreadsheet design copy righted by Thomas Hartl 2013</dc:description>
  <cp:lastModifiedBy>Thomas Hartl</cp:lastModifiedBy>
  <dcterms:created xsi:type="dcterms:W3CDTF">2013-07-29T13:07:32Z</dcterms:created>
  <dcterms:modified xsi:type="dcterms:W3CDTF">2013-09-11T01:36:39Z</dcterms:modified>
</cp:coreProperties>
</file>