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11760" tabRatio="797" firstSheet="4" activeTab="10"/>
  </bookViews>
  <sheets>
    <sheet name="Start Here --&gt;" sheetId="2" r:id="rId1"/>
    <sheet name="1) Data" sheetId="23" r:id="rId2"/>
    <sheet name="1) Incremental Method" sheetId="22" r:id="rId3"/>
    <sheet name="1) Solution" sheetId="15" r:id="rId4"/>
    <sheet name="2) Data" sheetId="24" r:id="rId5"/>
    <sheet name="2) Run-off Method" sheetId="25" r:id="rId6"/>
    <sheet name="2) Solution" sheetId="10" r:id="rId7"/>
    <sheet name="2) DB Reinsr Loss Dev Benchmks." sheetId="19" r:id="rId8"/>
    <sheet name="3) Data" sheetId="1" r:id="rId9"/>
    <sheet name="3) Recursive Method" sheetId="4" r:id="rId10"/>
    <sheet name="3) Solution" sheetId="13" r:id="rId11"/>
    <sheet name=".END." sheetId="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13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account" localSheetId="2">#REF!</definedName>
    <definedName name="account">#REF!</definedName>
    <definedName name="AsbDiscLup" localSheetId="2">#REF!</definedName>
    <definedName name="AsbDiscLup">#REF!</definedName>
    <definedName name="class" localSheetId="2">#REF!</definedName>
    <definedName name="class">#REF!</definedName>
    <definedName name="Client" localSheetId="2">#REF!</definedName>
    <definedName name="Client">#REF!</definedName>
    <definedName name="DD" localSheetId="2">#REF!</definedName>
    <definedName name="DD">#REF!</definedName>
    <definedName name="Description" localSheetId="2">#REF!</definedName>
    <definedName name="Description">#REF!</definedName>
    <definedName name="Discounts">'2) DB Reinsr Loss Dev Benchmks.'!$K$46:$L$58</definedName>
    <definedName name="Engagement" localSheetId="2">#REF!</definedName>
    <definedName name="Engagement">#REF!</definedName>
    <definedName name="EvalDate" localSheetId="1">'1) Data'!$C$34</definedName>
    <definedName name="EvalDate" localSheetId="2">'1) Incremental Method'!$C$34</definedName>
    <definedName name="evaldate" localSheetId="7">'[1]3Q2010 Summary'!$A$5</definedName>
    <definedName name="EvalDate">'1) Solution'!$C$34</definedName>
    <definedName name="evalday" localSheetId="2">#REF!</definedName>
    <definedName name="evalday">#REF!</definedName>
    <definedName name="evalmonth" localSheetId="7">#REF!</definedName>
    <definedName name="evalmonth">[2]Control!$B$11</definedName>
    <definedName name="Evaluation">[1]Control!$B$5</definedName>
    <definedName name="Evalyear" localSheetId="7">[1]Control!$E$5</definedName>
    <definedName name="evalyear">'[3]revised Method 1.2'!$B$2</definedName>
    <definedName name="Heading1">[4]Parms!$B$9</definedName>
    <definedName name="heading2">[4]Parms!$B$10</definedName>
    <definedName name="INC_Old_Calc" localSheetId="2">#REF!</definedName>
    <definedName name="INC_Old_Calc">#REF!</definedName>
    <definedName name="INC_Old_Tri" localSheetId="2">#REF!</definedName>
    <definedName name="INC_Old_Tri">#REF!</definedName>
    <definedName name="INC_Recent_Calc" localSheetId="2">#REF!</definedName>
    <definedName name="INC_Recent_Calc">#REF!</definedName>
    <definedName name="Inc_Recent_Tri" localSheetId="2">#REF!</definedName>
    <definedName name="Inc_Recent_Tri">#REF!</definedName>
    <definedName name="IncurredRunoff" localSheetId="2">#REF!</definedName>
    <definedName name="IncurredRunoff">#REF!</definedName>
    <definedName name="Interest">'[1]3Q2010 Summary'!$E$24</definedName>
    <definedName name="LastUY" localSheetId="2">#REF!</definedName>
    <definedName name="LastUY">#REF!</definedName>
    <definedName name="limcount" hidden="1">1</definedName>
    <definedName name="LOB" localSheetId="2">#REF!</definedName>
    <definedName name="LOB">#REF!</definedName>
    <definedName name="Mode" localSheetId="1">'1) Data'!$G$59</definedName>
    <definedName name="Mode" localSheetId="2">'1) Incremental Method'!$G$59</definedName>
    <definedName name="Mode">'1) Solution'!$G$59</definedName>
    <definedName name="PaidRunoff" localSheetId="2">#REF!</definedName>
    <definedName name="PaidRunoff">#REF!</definedName>
    <definedName name="PD_Old_Calc" localSheetId="2">#REF!</definedName>
    <definedName name="PD_Old_Calc">#REF!</definedName>
    <definedName name="PD_Old_Tri" localSheetId="2">#REF!</definedName>
    <definedName name="PD_Old_Tri">#REF!</definedName>
    <definedName name="PD_Recent_Calc" localSheetId="2">#REF!</definedName>
    <definedName name="PD_Recent_Calc">#REF!</definedName>
    <definedName name="PD_Recent_Tri" localSheetId="2">#REF!</definedName>
    <definedName name="PD_Recent_Tri">#REF!</definedName>
    <definedName name="PolDiscLup" localSheetId="2">#REF!</definedName>
    <definedName name="PolDiscLup">#REF!</definedName>
    <definedName name="_xlnm.Print_Area" localSheetId="7">'2) DB Reinsr Loss Dev Benchmks.'!$A$20:$N$63,'2) DB Reinsr Loss Dev Benchmks.'!$A$1:$AH$18</definedName>
    <definedName name="_xlnm.Print_Titles" localSheetId="7">'2) DB Reinsr Loss Dev Benchmks.'!$A$1:$B$65536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2" hidden="1">'[5]Print Parms'!#REF!</definedName>
    <definedName name="solver_adj" localSheetId="4" hidden="1">'2) Data'!$L$5</definedName>
    <definedName name="solver_adj" localSheetId="5" hidden="1">'2) Run-off Method'!$L$5</definedName>
    <definedName name="solver_adj" localSheetId="6" hidden="1">'2) Solution'!$L$5</definedName>
    <definedName name="solver_adj" hidden="1">'[5]Print Parms'!#REF!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itr" localSheetId="4" hidden="1">100</definedName>
    <definedName name="solver_itr" localSheetId="5" hidden="1">100</definedName>
    <definedName name="solver_itr" localSheetId="6" hidden="1">100</definedName>
    <definedName name="solver_lhs1" localSheetId="4" hidden="1">'2) Data'!$M$19</definedName>
    <definedName name="solver_lhs1" localSheetId="5" hidden="1">'2) Run-off Method'!$M$19</definedName>
    <definedName name="solver_lhs1" localSheetId="6" hidden="1">'2) Solution'!$M$19</definedName>
    <definedName name="solver_lhs2" localSheetId="4" hidden="1">'2) Data'!$K$60</definedName>
    <definedName name="solver_lhs2" localSheetId="5" hidden="1">'2) Run-off Method'!$K$60</definedName>
    <definedName name="solver_lhs2" localSheetId="6" hidden="1">'2) Solution'!$K$60</definedName>
    <definedName name="solver_lin" localSheetId="4" hidden="1">2</definedName>
    <definedName name="solver_lin" localSheetId="5" hidden="1">2</definedName>
    <definedName name="solver_lin" localSheetId="6" hidden="1">2</definedName>
    <definedName name="solver_lin" hidden="1">0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um" localSheetId="4" hidden="1">2</definedName>
    <definedName name="solver_num" localSheetId="5" hidden="1">2</definedName>
    <definedName name="solver_num" localSheetId="6" hidden="1">2</definedName>
    <definedName name="solver_num" hidden="1">0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opt" localSheetId="2" hidden="1">'[5]Print Parms'!#REF!</definedName>
    <definedName name="solver_opt" localSheetId="4" hidden="1">'2) Data'!$L$5</definedName>
    <definedName name="solver_opt" localSheetId="5" hidden="1">'2) Run-off Method'!$L$5</definedName>
    <definedName name="solver_opt" localSheetId="6" hidden="1">'2) Solution'!$L$5</definedName>
    <definedName name="solver_opt" hidden="1">'[5]Print Parms'!#REF!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rel1" localSheetId="4" hidden="1">1</definedName>
    <definedName name="solver_rel1" localSheetId="5" hidden="1">1</definedName>
    <definedName name="solver_rel1" localSheetId="6" hidden="1">1</definedName>
    <definedName name="solver_rel2" localSheetId="4" hidden="1">3</definedName>
    <definedName name="solver_rel2" localSheetId="5" hidden="1">3</definedName>
    <definedName name="solver_rel2" localSheetId="6" hidden="1">3</definedName>
    <definedName name="solver_rhs1" localSheetId="4" hidden="1">'2) Data'!$L$19</definedName>
    <definedName name="solver_rhs1" localSheetId="5" hidden="1">'2) Run-off Method'!$L$19</definedName>
    <definedName name="solver_rhs1" localSheetId="6" hidden="1">'2) Solution'!$L$19</definedName>
    <definedName name="solver_rhs2" localSheetId="4" hidden="1">1.00001</definedName>
    <definedName name="solver_rhs2" localSheetId="5" hidden="1">1.00001</definedName>
    <definedName name="solver_rhs2" localSheetId="6" hidden="1">1.00001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tim" localSheetId="4" hidden="1">100</definedName>
    <definedName name="solver_tim" localSheetId="5" hidden="1">100</definedName>
    <definedName name="solver_tim" localSheetId="6" hidden="1">100</definedName>
    <definedName name="solver_tol" localSheetId="4" hidden="1">0.05</definedName>
    <definedName name="solver_tol" localSheetId="5" hidden="1">0.05</definedName>
    <definedName name="solver_tol" localSheetId="6" hidden="1">0.05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hidden="1">3</definedName>
    <definedName name="solver_val" localSheetId="4" hidden="1">0.621</definedName>
    <definedName name="solver_val" localSheetId="5" hidden="1">0.621</definedName>
    <definedName name="solver_val" localSheetId="6" hidden="1">0.621</definedName>
    <definedName name="solver_val" hidden="1">0</definedName>
    <definedName name="StartAge" localSheetId="1">'1) Data'!$C$52</definedName>
    <definedName name="StartAge" localSheetId="2">'1) Incremental Method'!$C$112</definedName>
    <definedName name="StartAge">'1) Solution'!$C$112</definedName>
    <definedName name="StartingAge" localSheetId="1">'1) Data'!$C$33</definedName>
    <definedName name="StartingAge" localSheetId="2">'1) Incremental Method'!$C$33</definedName>
    <definedName name="StartingAge">'1) Solution'!$C$33</definedName>
    <definedName name="Step1Pivot" localSheetId="4">'2) Data'!$B$32</definedName>
    <definedName name="Step1Pivot" localSheetId="5">'2) Run-off Method'!$B$32</definedName>
    <definedName name="Step1Pivot">'2) Solution'!$B$32</definedName>
    <definedName name="Step2Pivot" localSheetId="4">'2) Data'!$B$46</definedName>
    <definedName name="Step2Pivot" localSheetId="5">'2) Run-off Method'!$B$46</definedName>
    <definedName name="Step2Pivot">'2) Solution'!$B$46</definedName>
    <definedName name="Step3Pivot" localSheetId="4">'2) Data'!$B$65</definedName>
    <definedName name="Step3Pivot" localSheetId="5">'2) Run-off Method'!$B$65</definedName>
    <definedName name="Step3Pivot">'2) Solution'!$B$65</definedName>
    <definedName name="subaccount" localSheetId="2">#REF!</definedName>
    <definedName name="subaccount">#REF!</definedName>
    <definedName name="SUM_Disc" localSheetId="2">#REF!</definedName>
    <definedName name="SUM_Disc">#REF!</definedName>
    <definedName name="SUM_Gross" localSheetId="2">#REF!</definedName>
    <definedName name="SUM_Gross">#REF!</definedName>
    <definedName name="SUM_Net" localSheetId="2">#REF!</definedName>
    <definedName name="SUM_Net">#REF!</definedName>
    <definedName name="SUM_Overall">'[6]Pollution 1'!$A$1:$E$24</definedName>
    <definedName name="Tail" localSheetId="4">'2) Data'!$U$55</definedName>
    <definedName name="Tail" localSheetId="5">'2) Run-off Method'!$U$55</definedName>
    <definedName name="Tail">'2) Solution'!$U$55</definedName>
    <definedName name="wrn.Brittany._.Pollution." localSheetId="1" hidden="1">{"Brittany Pollution",#N/A,FALSE,"Benchmarks"}</definedName>
    <definedName name="wrn.Brittany._.Pollution." localSheetId="4" hidden="1">{"Brittany Pollution",#N/A,FALSE,"Benchmarks"}</definedName>
    <definedName name="wrn.Brittany._.Pollution." localSheetId="5" hidden="1">{"Brittany Pollution",#N/A,FALSE,"Benchmarks"}</definedName>
    <definedName name="wrn.Brittany._.Pollution." hidden="1">{"Brittany Pollution",#N/A,FALSE,"Benchmarks"}</definedName>
    <definedName name="wrn.CEAI._.Weavers._.Pollution." localSheetId="1" hidden="1">{"CEAI Waevers Pollution",#N/A,FALSE,"Benchmarks"}</definedName>
    <definedName name="wrn.CEAI._.Weavers._.Pollution." localSheetId="4" hidden="1">{"CEAI Waevers Pollution",#N/A,FALSE,"Benchmarks"}</definedName>
    <definedName name="wrn.CEAI._.Weavers._.Pollution." localSheetId="5" hidden="1">{"CEAI Waevers Pollution",#N/A,FALSE,"Benchmarks"}</definedName>
    <definedName name="wrn.CEAI._.Weavers._.Pollution." hidden="1">{"CEAI Waevers Pollution",#N/A,FALSE,"Benchmarks"}</definedName>
    <definedName name="wrn.original." localSheetId="1" hidden="1">{"original",#N/A,FALSE,"Sheet1"}</definedName>
    <definedName name="wrn.original." localSheetId="4" hidden="1">{"original",#N/A,FALSE,"Sheet1"}</definedName>
    <definedName name="wrn.original." localSheetId="5" hidden="1">{"original",#N/A,FALSE,"Sheet1"}</definedName>
    <definedName name="wrn.original." hidden="1">{"original",#N/A,FALSE,"Sheet1"}</definedName>
    <definedName name="wrn.Payment._.Models." localSheetId="1" hidden="1">{"Exhibit 3",#N/A,FALSE,"Hazardous Waste Payout";"Exhibit 6",#N/A,FALSE,"Asbestos Payout"}</definedName>
    <definedName name="wrn.Payment._.Models." localSheetId="4" hidden="1">{"Exhibit 3",#N/A,FALSE,"Hazardous Waste Payout";"Exhibit 6",#N/A,FALSE,"Asbestos Payout"}</definedName>
    <definedName name="wrn.Payment._.Models." localSheetId="5" hidden="1">{"Exhibit 3",#N/A,FALSE,"Hazardous Waste Payout";"Exhibit 6",#N/A,FALSE,"Asbestos Payout"}</definedName>
    <definedName name="wrn.Payment._.Models." hidden="1">{"Exhibit 3",#N/A,FALSE,"Hazardous Waste Payout";"Exhibit 6",#N/A,FALSE,"Asbestos Payout"}</definedName>
    <definedName name="wrn.revised." localSheetId="1" hidden="1">{"revised",#N/A,FALSE,"Sheet1"}</definedName>
    <definedName name="wrn.revised." localSheetId="4" hidden="1">{"revised",#N/A,FALSE,"Sheet1"}</definedName>
    <definedName name="wrn.revised." localSheetId="5" hidden="1">{"revised",#N/A,FALSE,"Sheet1"}</definedName>
    <definedName name="wrn.revised." hidden="1">{"revised",#N/A,FALSE,"Sheet1"}</definedName>
    <definedName name="wrn.Summary." localSheetId="1" hidden="1">{"Summary Benchmarks",#N/A,FALSE,"Benchmarks"}</definedName>
    <definedName name="wrn.Summary." localSheetId="4" hidden="1">{"Summary Benchmarks",#N/A,FALSE,"Benchmarks"}</definedName>
    <definedName name="wrn.Summary." localSheetId="5" hidden="1">{"Summary Benchmarks",#N/A,FALSE,"Benchmarks"}</definedName>
    <definedName name="wrn.Summary." hidden="1">{"Summary Benchmarks",#N/A,FALSE,"Benchmarks"}</definedName>
  </definedNames>
  <calcPr calcId="145621"/>
</workbook>
</file>

<file path=xl/calcChain.xml><?xml version="1.0" encoding="utf-8"?>
<calcChain xmlns="http://schemas.openxmlformats.org/spreadsheetml/2006/main">
  <c r="T48" i="10" l="1"/>
  <c r="C81" i="25"/>
  <c r="D81" i="25"/>
  <c r="E81" i="25"/>
  <c r="F81" i="25"/>
  <c r="H81" i="25"/>
  <c r="I81" i="25"/>
  <c r="J81" i="25"/>
  <c r="K81" i="25"/>
  <c r="T49" i="10"/>
  <c r="T53" i="10"/>
  <c r="C42" i="25" l="1"/>
  <c r="D41" i="25"/>
  <c r="C41" i="25"/>
  <c r="C40" i="25"/>
  <c r="D39" i="25"/>
  <c r="C39" i="25"/>
  <c r="D38" i="25"/>
  <c r="C38" i="25"/>
  <c r="D37" i="25"/>
  <c r="C37" i="25"/>
  <c r="D36" i="25"/>
  <c r="C36" i="25"/>
  <c r="D35" i="25"/>
  <c r="C35" i="25"/>
  <c r="D34" i="25"/>
  <c r="C34" i="25"/>
  <c r="C33" i="25"/>
  <c r="G70" i="25" l="1"/>
  <c r="G69" i="25"/>
  <c r="G68" i="25"/>
  <c r="G67" i="25"/>
  <c r="G66" i="25"/>
  <c r="G56" i="25"/>
  <c r="G55" i="25"/>
  <c r="G54" i="25"/>
  <c r="G53" i="25"/>
  <c r="G52" i="25"/>
  <c r="G51" i="25"/>
  <c r="G50" i="25"/>
  <c r="G49" i="25"/>
  <c r="G48" i="25"/>
  <c r="G47" i="25"/>
  <c r="F108" i="22"/>
  <c r="F128" i="22" s="1"/>
  <c r="K24" i="22"/>
  <c r="K23" i="22"/>
  <c r="K22" i="22"/>
  <c r="K21" i="22"/>
  <c r="K20" i="22"/>
  <c r="K19" i="22"/>
  <c r="K18" i="22"/>
  <c r="K17" i="22"/>
  <c r="K28" i="22" s="1"/>
  <c r="D5" i="25"/>
  <c r="D33" i="25" s="1"/>
  <c r="J8" i="25"/>
  <c r="F9" i="25"/>
  <c r="F10" i="25"/>
  <c r="G10" i="25"/>
  <c r="E11" i="25"/>
  <c r="J11" i="25"/>
  <c r="E12" i="25"/>
  <c r="H12" i="25"/>
  <c r="F13" i="25"/>
  <c r="D14" i="25"/>
  <c r="D12" i="25" s="1"/>
  <c r="D40" i="25" s="1"/>
  <c r="F14" i="25"/>
  <c r="B17" i="25"/>
  <c r="B31" i="25" s="1"/>
  <c r="B45" i="25" s="1"/>
  <c r="B64" i="25" s="1"/>
  <c r="C17" i="25"/>
  <c r="B18" i="25"/>
  <c r="C18" i="25"/>
  <c r="C32" i="25" s="1"/>
  <c r="C65" i="25" s="1"/>
  <c r="D18" i="25"/>
  <c r="D32" i="25" s="1"/>
  <c r="E18" i="25"/>
  <c r="F18" i="25"/>
  <c r="G18" i="25"/>
  <c r="G32" i="25" s="1"/>
  <c r="H18" i="25"/>
  <c r="H32" i="25" s="1"/>
  <c r="I18" i="25"/>
  <c r="I32" i="25" s="1"/>
  <c r="J18" i="25"/>
  <c r="K18" i="25"/>
  <c r="K32" i="25" s="1"/>
  <c r="L18" i="25"/>
  <c r="L32" i="25" s="1"/>
  <c r="M18" i="25"/>
  <c r="N18" i="25"/>
  <c r="O18" i="25"/>
  <c r="O32" i="25" s="1"/>
  <c r="P18" i="25"/>
  <c r="P32" i="25" s="1"/>
  <c r="B19" i="25"/>
  <c r="P19" i="25"/>
  <c r="B20" i="25"/>
  <c r="B34" i="25" s="1"/>
  <c r="B48" i="25" s="1"/>
  <c r="B67" i="25" s="1"/>
  <c r="B88" i="25" s="1"/>
  <c r="B21" i="25"/>
  <c r="B35" i="25" s="1"/>
  <c r="B49" i="25" s="1"/>
  <c r="B68" i="25" s="1"/>
  <c r="B22" i="25"/>
  <c r="B36" i="25" s="1"/>
  <c r="B50" i="25" s="1"/>
  <c r="B69" i="25" s="1"/>
  <c r="I22" i="25"/>
  <c r="M22" i="25" s="1"/>
  <c r="M69" i="25" s="1"/>
  <c r="J22" i="25"/>
  <c r="J69" i="25" s="1"/>
  <c r="B23" i="25"/>
  <c r="B37" i="25" s="1"/>
  <c r="B51" i="25" s="1"/>
  <c r="B70" i="25" s="1"/>
  <c r="B24" i="25"/>
  <c r="B38" i="25" s="1"/>
  <c r="B52" i="25" s="1"/>
  <c r="B71" i="25" s="1"/>
  <c r="G24" i="25"/>
  <c r="I24" i="25" s="1"/>
  <c r="I71" i="25" s="1"/>
  <c r="H24" i="25"/>
  <c r="H71" i="25" s="1"/>
  <c r="B25" i="25"/>
  <c r="B39" i="25" s="1"/>
  <c r="B53" i="25" s="1"/>
  <c r="B72" i="25" s="1"/>
  <c r="G25" i="25"/>
  <c r="G72" i="25" s="1"/>
  <c r="B26" i="25"/>
  <c r="B40" i="25" s="1"/>
  <c r="B54" i="25" s="1"/>
  <c r="B73" i="25" s="1"/>
  <c r="E26" i="25"/>
  <c r="I26" i="25" s="1"/>
  <c r="F26" i="25"/>
  <c r="G26" i="25"/>
  <c r="G73" i="25" s="1"/>
  <c r="B27" i="25"/>
  <c r="E27" i="25"/>
  <c r="H27" i="25" s="1"/>
  <c r="F27" i="25"/>
  <c r="G27" i="25"/>
  <c r="G74" i="25" s="1"/>
  <c r="B28" i="25"/>
  <c r="B42" i="25" s="1"/>
  <c r="B56" i="25" s="1"/>
  <c r="B75" i="25" s="1"/>
  <c r="D28" i="25"/>
  <c r="D42" i="25" s="1"/>
  <c r="C56" i="25" s="1"/>
  <c r="F28" i="25"/>
  <c r="C31" i="25"/>
  <c r="C45" i="25" s="1"/>
  <c r="B32" i="25"/>
  <c r="B46" i="25" s="1"/>
  <c r="B65" i="25" s="1"/>
  <c r="E32" i="25"/>
  <c r="D46" i="25" s="1"/>
  <c r="F32" i="25"/>
  <c r="J32" i="25"/>
  <c r="M32" i="25"/>
  <c r="L46" i="25" s="1"/>
  <c r="N32" i="25"/>
  <c r="B33" i="25"/>
  <c r="B47" i="25" s="1"/>
  <c r="B66" i="25" s="1"/>
  <c r="B41" i="25"/>
  <c r="B55" i="25" s="1"/>
  <c r="B74" i="25" s="1"/>
  <c r="C47" i="25"/>
  <c r="D47" i="25"/>
  <c r="E47" i="25"/>
  <c r="F47" i="25"/>
  <c r="H47" i="25"/>
  <c r="I47" i="25"/>
  <c r="J47" i="25"/>
  <c r="K47" i="25"/>
  <c r="L47" i="25"/>
  <c r="M47" i="25"/>
  <c r="N47" i="25"/>
  <c r="O47" i="25"/>
  <c r="C48" i="25"/>
  <c r="D48" i="25"/>
  <c r="E48" i="25"/>
  <c r="F48" i="25"/>
  <c r="H48" i="25"/>
  <c r="I48" i="25"/>
  <c r="J48" i="25"/>
  <c r="K48" i="25"/>
  <c r="L48" i="25"/>
  <c r="M48" i="25"/>
  <c r="N48" i="25"/>
  <c r="O48" i="25"/>
  <c r="C49" i="25"/>
  <c r="D49" i="25"/>
  <c r="E49" i="25"/>
  <c r="F49" i="25"/>
  <c r="H49" i="25"/>
  <c r="I49" i="25"/>
  <c r="J49" i="25"/>
  <c r="K49" i="25"/>
  <c r="L49" i="25"/>
  <c r="M49" i="25"/>
  <c r="N49" i="25"/>
  <c r="O49" i="25"/>
  <c r="C50" i="25"/>
  <c r="D50" i="25"/>
  <c r="E50" i="25"/>
  <c r="F50" i="25"/>
  <c r="H50" i="25"/>
  <c r="I50" i="25"/>
  <c r="J50" i="25"/>
  <c r="K50" i="25"/>
  <c r="L50" i="25"/>
  <c r="M50" i="25"/>
  <c r="N50" i="25"/>
  <c r="O50" i="25"/>
  <c r="C51" i="25"/>
  <c r="D51" i="25"/>
  <c r="E51" i="25"/>
  <c r="F51" i="25"/>
  <c r="H51" i="25"/>
  <c r="I51" i="25"/>
  <c r="J51" i="25"/>
  <c r="K51" i="25"/>
  <c r="L51" i="25"/>
  <c r="M51" i="25"/>
  <c r="N51" i="25"/>
  <c r="O51" i="25"/>
  <c r="C52" i="25"/>
  <c r="D52" i="25"/>
  <c r="E52" i="25"/>
  <c r="F52" i="25"/>
  <c r="H52" i="25"/>
  <c r="I52" i="25"/>
  <c r="J52" i="25"/>
  <c r="K52" i="25"/>
  <c r="L52" i="25"/>
  <c r="M52" i="25"/>
  <c r="N52" i="25"/>
  <c r="O52" i="25"/>
  <c r="C53" i="25"/>
  <c r="D53" i="25"/>
  <c r="E53" i="25"/>
  <c r="F53" i="25"/>
  <c r="H53" i="25"/>
  <c r="I53" i="25"/>
  <c r="J53" i="25"/>
  <c r="K53" i="25"/>
  <c r="L53" i="25"/>
  <c r="M53" i="25"/>
  <c r="N53" i="25"/>
  <c r="O53" i="25"/>
  <c r="C54" i="25"/>
  <c r="D54" i="25"/>
  <c r="E54" i="25"/>
  <c r="F54" i="25"/>
  <c r="H54" i="25"/>
  <c r="I54" i="25"/>
  <c r="J54" i="25"/>
  <c r="K54" i="25"/>
  <c r="L54" i="25"/>
  <c r="M54" i="25"/>
  <c r="N54" i="25"/>
  <c r="O54" i="25"/>
  <c r="C55" i="25"/>
  <c r="D55" i="25"/>
  <c r="E55" i="25"/>
  <c r="F55" i="25"/>
  <c r="H55" i="25"/>
  <c r="I55" i="25"/>
  <c r="J55" i="25"/>
  <c r="K55" i="25"/>
  <c r="L55" i="25"/>
  <c r="M55" i="25"/>
  <c r="N55" i="25"/>
  <c r="O55" i="25"/>
  <c r="E56" i="25"/>
  <c r="F56" i="25"/>
  <c r="H56" i="25"/>
  <c r="I56" i="25"/>
  <c r="J56" i="25"/>
  <c r="K56" i="25"/>
  <c r="L56" i="25"/>
  <c r="M56" i="25"/>
  <c r="N56" i="25"/>
  <c r="O56" i="25"/>
  <c r="F65" i="25"/>
  <c r="J65" i="25"/>
  <c r="N65" i="25"/>
  <c r="C66" i="25"/>
  <c r="D66" i="25"/>
  <c r="E66" i="25"/>
  <c r="F66" i="25"/>
  <c r="H66" i="25"/>
  <c r="I66" i="25"/>
  <c r="J66" i="25"/>
  <c r="K66" i="25"/>
  <c r="L66" i="25"/>
  <c r="M66" i="25"/>
  <c r="N66" i="25"/>
  <c r="O66" i="25"/>
  <c r="P66" i="25"/>
  <c r="C67" i="25"/>
  <c r="D67" i="25"/>
  <c r="E67" i="25"/>
  <c r="F67" i="25"/>
  <c r="H67" i="25"/>
  <c r="I67" i="25"/>
  <c r="J67" i="25"/>
  <c r="K67" i="25"/>
  <c r="L67" i="25"/>
  <c r="M67" i="25"/>
  <c r="N67" i="25"/>
  <c r="O67" i="25"/>
  <c r="P67" i="25"/>
  <c r="C68" i="25"/>
  <c r="D68" i="25"/>
  <c r="E68" i="25"/>
  <c r="F68" i="25"/>
  <c r="H68" i="25"/>
  <c r="I68" i="25"/>
  <c r="J68" i="25"/>
  <c r="K68" i="25"/>
  <c r="L68" i="25"/>
  <c r="M68" i="25"/>
  <c r="N68" i="25"/>
  <c r="O68" i="25"/>
  <c r="P68" i="25"/>
  <c r="C69" i="25"/>
  <c r="D69" i="25"/>
  <c r="E69" i="25"/>
  <c r="F69" i="25"/>
  <c r="H69" i="25"/>
  <c r="I69" i="25"/>
  <c r="K69" i="25"/>
  <c r="L69" i="25"/>
  <c r="N69" i="25"/>
  <c r="O69" i="25"/>
  <c r="P69" i="25"/>
  <c r="C70" i="25"/>
  <c r="D70" i="25"/>
  <c r="E70" i="25"/>
  <c r="F70" i="25"/>
  <c r="I70" i="25"/>
  <c r="K70" i="25"/>
  <c r="L70" i="25"/>
  <c r="M70" i="25"/>
  <c r="N70" i="25"/>
  <c r="O70" i="25"/>
  <c r="P70" i="25"/>
  <c r="C71" i="25"/>
  <c r="D71" i="25"/>
  <c r="E71" i="25"/>
  <c r="F71" i="25"/>
  <c r="K71" i="25"/>
  <c r="L71" i="25"/>
  <c r="M71" i="25"/>
  <c r="N71" i="25"/>
  <c r="O71" i="25"/>
  <c r="P71" i="25"/>
  <c r="C72" i="25"/>
  <c r="D72" i="25"/>
  <c r="K72" i="25"/>
  <c r="L72" i="25"/>
  <c r="M72" i="25"/>
  <c r="N72" i="25"/>
  <c r="O72" i="25"/>
  <c r="P72" i="25"/>
  <c r="C73" i="25"/>
  <c r="D73" i="25"/>
  <c r="F73" i="25"/>
  <c r="J73" i="25"/>
  <c r="K73" i="25"/>
  <c r="L73" i="25"/>
  <c r="M73" i="25"/>
  <c r="N73" i="25"/>
  <c r="O73" i="25"/>
  <c r="P73" i="25"/>
  <c r="C74" i="25"/>
  <c r="D74" i="25"/>
  <c r="F74" i="25"/>
  <c r="I74" i="25"/>
  <c r="J74" i="25"/>
  <c r="K74" i="25"/>
  <c r="L74" i="25"/>
  <c r="M74" i="25"/>
  <c r="N74" i="25"/>
  <c r="O74" i="25"/>
  <c r="P74" i="25"/>
  <c r="C75" i="25"/>
  <c r="E75" i="25"/>
  <c r="F75" i="25"/>
  <c r="H75" i="25"/>
  <c r="I75" i="25"/>
  <c r="J75" i="25"/>
  <c r="K75" i="25"/>
  <c r="L75" i="25"/>
  <c r="M75" i="25"/>
  <c r="N75" i="25"/>
  <c r="O75" i="25"/>
  <c r="P75" i="25"/>
  <c r="D79" i="25"/>
  <c r="E79" i="25"/>
  <c r="F79" i="25"/>
  <c r="G79" i="25"/>
  <c r="H79" i="25"/>
  <c r="I79" i="25"/>
  <c r="J79" i="25"/>
  <c r="K79" i="25"/>
  <c r="L79" i="25"/>
  <c r="M79" i="25"/>
  <c r="N79" i="25"/>
  <c r="O79" i="25"/>
  <c r="P79" i="25"/>
  <c r="D87" i="25"/>
  <c r="D5" i="24"/>
  <c r="J8" i="24"/>
  <c r="F9" i="24"/>
  <c r="F10" i="24"/>
  <c r="G10" i="24"/>
  <c r="E11" i="24"/>
  <c r="J11" i="24" s="1"/>
  <c r="E12" i="24"/>
  <c r="H12" i="24"/>
  <c r="F13" i="24"/>
  <c r="D14" i="24"/>
  <c r="D12" i="24" s="1"/>
  <c r="F14" i="24"/>
  <c r="B17" i="24"/>
  <c r="C17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B19" i="24"/>
  <c r="P19" i="24"/>
  <c r="B20" i="24"/>
  <c r="B21" i="24"/>
  <c r="B22" i="24"/>
  <c r="I22" i="24"/>
  <c r="M22" i="24" s="1"/>
  <c r="J22" i="24"/>
  <c r="B23" i="24"/>
  <c r="B24" i="24"/>
  <c r="G24" i="24"/>
  <c r="I24" i="24" s="1"/>
  <c r="H24" i="24"/>
  <c r="J24" i="24" s="1"/>
  <c r="B25" i="24"/>
  <c r="G25" i="24"/>
  <c r="B26" i="24"/>
  <c r="E26" i="24"/>
  <c r="F26" i="24"/>
  <c r="G26" i="24"/>
  <c r="B27" i="24"/>
  <c r="E27" i="24"/>
  <c r="E25" i="24" s="1"/>
  <c r="F27" i="24"/>
  <c r="G27" i="24"/>
  <c r="B28" i="24"/>
  <c r="D28" i="24"/>
  <c r="F28" i="24"/>
  <c r="C132" i="22"/>
  <c r="D2" i="23"/>
  <c r="D4" i="23" s="1"/>
  <c r="E2" i="23"/>
  <c r="E4" i="23" s="1"/>
  <c r="C4" i="23"/>
  <c r="G121" i="22"/>
  <c r="I122" i="22" s="1"/>
  <c r="J122" i="22" s="1"/>
  <c r="F121" i="22"/>
  <c r="E121" i="22"/>
  <c r="D121" i="22"/>
  <c r="C121" i="22"/>
  <c r="B121" i="22"/>
  <c r="J79" i="22"/>
  <c r="G79" i="22"/>
  <c r="J78" i="22"/>
  <c r="G78" i="22"/>
  <c r="J77" i="22"/>
  <c r="G77" i="22"/>
  <c r="J76" i="22"/>
  <c r="G76" i="22"/>
  <c r="J67" i="22"/>
  <c r="G67" i="22"/>
  <c r="J66" i="22"/>
  <c r="G66" i="22"/>
  <c r="J65" i="22"/>
  <c r="G65" i="22"/>
  <c r="J64" i="22"/>
  <c r="G64" i="22"/>
  <c r="B62" i="22"/>
  <c r="B63" i="22" s="1"/>
  <c r="B64" i="22" s="1"/>
  <c r="C61" i="22"/>
  <c r="F132" i="22"/>
  <c r="C112" i="22"/>
  <c r="C111" i="22" s="1"/>
  <c r="F131" i="22"/>
  <c r="F129" i="22"/>
  <c r="F127" i="22"/>
  <c r="F134" i="22"/>
  <c r="G101" i="22"/>
  <c r="F101" i="22"/>
  <c r="E101" i="22"/>
  <c r="D101" i="22"/>
  <c r="C101" i="22"/>
  <c r="B101" i="22"/>
  <c r="C34" i="22"/>
  <c r="D112" i="22" s="1"/>
  <c r="D111" i="22" s="1"/>
  <c r="B24" i="22"/>
  <c r="B23" i="22"/>
  <c r="B22" i="22"/>
  <c r="B21" i="22"/>
  <c r="B20" i="22"/>
  <c r="B19" i="22"/>
  <c r="B18" i="22"/>
  <c r="B17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C4" i="22"/>
  <c r="C35" i="22" s="1"/>
  <c r="C36" i="22" s="1"/>
  <c r="C37" i="22" s="1"/>
  <c r="D2" i="22"/>
  <c r="D4" i="22" s="1"/>
  <c r="D35" i="22" s="1"/>
  <c r="P19" i="10"/>
  <c r="U49" i="10"/>
  <c r="A54" i="19"/>
  <c r="A55" i="19" s="1"/>
  <c r="D48" i="19"/>
  <c r="D49" i="19" s="1"/>
  <c r="D50" i="19" s="1"/>
  <c r="D51" i="19" s="1"/>
  <c r="D52" i="19" s="1"/>
  <c r="D53" i="19" s="1"/>
  <c r="D54" i="19" s="1"/>
  <c r="D55" i="19" s="1"/>
  <c r="D56" i="19" s="1"/>
  <c r="D57" i="19" s="1"/>
  <c r="D58" i="19" s="1"/>
  <c r="D59" i="19" s="1"/>
  <c r="D60" i="19" s="1"/>
  <c r="K47" i="19"/>
  <c r="K48" i="19" s="1"/>
  <c r="D45" i="19"/>
  <c r="D44" i="19" s="1"/>
  <c r="D43" i="19" s="1"/>
  <c r="D42" i="19" s="1"/>
  <c r="D41" i="19" s="1"/>
  <c r="D40" i="19" s="1"/>
  <c r="D39" i="19" s="1"/>
  <c r="D38" i="19" s="1"/>
  <c r="D37" i="19" s="1"/>
  <c r="D36" i="19" s="1"/>
  <c r="D35" i="19" s="1"/>
  <c r="D34" i="19" s="1"/>
  <c r="D33" i="19" s="1"/>
  <c r="D32" i="19" s="1"/>
  <c r="D31" i="19" s="1"/>
  <c r="D30" i="19" s="1"/>
  <c r="F31" i="19"/>
  <c r="F32" i="19" s="1"/>
  <c r="K30" i="19"/>
  <c r="H30" i="19"/>
  <c r="I30" i="19" s="1"/>
  <c r="G29" i="19"/>
  <c r="A29" i="19"/>
  <c r="AH18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D13" i="19"/>
  <c r="E13" i="19" s="1"/>
  <c r="F13" i="19" s="1"/>
  <c r="G13" i="19" s="1"/>
  <c r="H13" i="19" s="1"/>
  <c r="I13" i="19" s="1"/>
  <c r="J13" i="19" s="1"/>
  <c r="K13" i="19" s="1"/>
  <c r="L13" i="19" s="1"/>
  <c r="M13" i="19" s="1"/>
  <c r="N13" i="19" s="1"/>
  <c r="O13" i="19" s="1"/>
  <c r="P13" i="19" s="1"/>
  <c r="Q13" i="19" s="1"/>
  <c r="R13" i="19" s="1"/>
  <c r="S13" i="19" s="1"/>
  <c r="T13" i="19" s="1"/>
  <c r="U13" i="19" s="1"/>
  <c r="V13" i="19" s="1"/>
  <c r="W13" i="19" s="1"/>
  <c r="X13" i="19" s="1"/>
  <c r="Y13" i="19" s="1"/>
  <c r="Z13" i="19" s="1"/>
  <c r="AA13" i="19" s="1"/>
  <c r="AB13" i="19" s="1"/>
  <c r="AC13" i="19" s="1"/>
  <c r="AD13" i="19" s="1"/>
  <c r="AE13" i="19" s="1"/>
  <c r="AF13" i="19" s="1"/>
  <c r="AG13" i="19" s="1"/>
  <c r="AH13" i="19" s="1"/>
  <c r="AI13" i="19" s="1"/>
  <c r="AJ13" i="19" s="1"/>
  <c r="AK13" i="19" s="1"/>
  <c r="AL13" i="19" s="1"/>
  <c r="AM13" i="19" s="1"/>
  <c r="AN13" i="19" s="1"/>
  <c r="AO13" i="19" s="1"/>
  <c r="AP13" i="19" s="1"/>
  <c r="N3" i="19"/>
  <c r="N2" i="19"/>
  <c r="F46" i="25" l="1"/>
  <c r="G65" i="25"/>
  <c r="I26" i="24"/>
  <c r="E73" i="25"/>
  <c r="D56" i="25"/>
  <c r="E74" i="25"/>
  <c r="M65" i="25"/>
  <c r="E65" i="25"/>
  <c r="G58" i="25"/>
  <c r="U48" i="10"/>
  <c r="D75" i="25"/>
  <c r="E46" i="25"/>
  <c r="F25" i="25"/>
  <c r="B91" i="25"/>
  <c r="C62" i="22"/>
  <c r="E2" i="22"/>
  <c r="E4" i="22" s="1"/>
  <c r="E35" i="22" s="1"/>
  <c r="H74" i="25"/>
  <c r="D90" i="25"/>
  <c r="I73" i="25"/>
  <c r="D89" i="25"/>
  <c r="O65" i="25"/>
  <c r="N46" i="25"/>
  <c r="J46" i="25"/>
  <c r="K65" i="25"/>
  <c r="H46" i="25"/>
  <c r="I65" i="25"/>
  <c r="G59" i="25"/>
  <c r="G60" i="25" s="1"/>
  <c r="F2" i="22"/>
  <c r="G2" i="22" s="1"/>
  <c r="H2" i="22" s="1"/>
  <c r="H27" i="24"/>
  <c r="E25" i="25"/>
  <c r="E72" i="25" s="1"/>
  <c r="F12" i="24"/>
  <c r="F11" i="24" s="1"/>
  <c r="H11" i="24" s="1"/>
  <c r="H9" i="24" s="1"/>
  <c r="B87" i="25"/>
  <c r="B29" i="19"/>
  <c r="I46" i="25"/>
  <c r="J24" i="25"/>
  <c r="J71" i="25" s="1"/>
  <c r="F12" i="25"/>
  <c r="F11" i="25" s="1"/>
  <c r="H11" i="25" s="1"/>
  <c r="H9" i="25" s="1"/>
  <c r="G71" i="25"/>
  <c r="F25" i="24"/>
  <c r="M46" i="25"/>
  <c r="B89" i="25"/>
  <c r="E89" i="25" s="1"/>
  <c r="K29" i="22"/>
  <c r="K31" i="22"/>
  <c r="K27" i="22" a="1"/>
  <c r="K27" i="22" s="1"/>
  <c r="H25" i="25"/>
  <c r="F72" i="25"/>
  <c r="I25" i="25"/>
  <c r="I72" i="25" s="1"/>
  <c r="O46" i="25"/>
  <c r="P65" i="25"/>
  <c r="K46" i="25"/>
  <c r="L65" i="25"/>
  <c r="G46" i="25"/>
  <c r="H65" i="25"/>
  <c r="B90" i="25" s="1"/>
  <c r="C46" i="25"/>
  <c r="D65" i="25"/>
  <c r="H10" i="25"/>
  <c r="G28" i="25"/>
  <c r="G75" i="25" s="1"/>
  <c r="D36" i="22"/>
  <c r="H25" i="24"/>
  <c r="H23" i="24" s="1"/>
  <c r="I25" i="24"/>
  <c r="G28" i="24"/>
  <c r="D37" i="22"/>
  <c r="E37" i="22" s="1"/>
  <c r="F2" i="23"/>
  <c r="E132" i="22"/>
  <c r="D110" i="22"/>
  <c r="D131" i="22"/>
  <c r="K123" i="22"/>
  <c r="K122" i="22"/>
  <c r="L122" i="22" s="1"/>
  <c r="C110" i="22"/>
  <c r="C131" i="22"/>
  <c r="E131" i="22"/>
  <c r="C64" i="22"/>
  <c r="L64" i="22" s="1"/>
  <c r="B65" i="22"/>
  <c r="F126" i="22"/>
  <c r="F130" i="22"/>
  <c r="D132" i="22"/>
  <c r="M62" i="22"/>
  <c r="F125" i="22"/>
  <c r="J134" i="22"/>
  <c r="M61" i="22"/>
  <c r="L62" i="22"/>
  <c r="L61" i="22"/>
  <c r="C63" i="22"/>
  <c r="U50" i="10"/>
  <c r="A56" i="19"/>
  <c r="B55" i="19"/>
  <c r="F33" i="19"/>
  <c r="K32" i="19"/>
  <c r="H32" i="19"/>
  <c r="I32" i="19" s="1"/>
  <c r="K49" i="19"/>
  <c r="B47" i="19"/>
  <c r="B54" i="19"/>
  <c r="B30" i="19"/>
  <c r="H31" i="19"/>
  <c r="I31" i="19" s="1"/>
  <c r="K31" i="19"/>
  <c r="B48" i="19"/>
  <c r="B49" i="19"/>
  <c r="B50" i="19"/>
  <c r="B51" i="19"/>
  <c r="B52" i="19"/>
  <c r="B53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U51" i="10"/>
  <c r="H10" i="24" l="1"/>
  <c r="G4" i="22"/>
  <c r="G35" i="22" s="1"/>
  <c r="E36" i="22"/>
  <c r="E87" i="25"/>
  <c r="M64" i="22"/>
  <c r="L123" i="22"/>
  <c r="F4" i="22"/>
  <c r="F35" i="22" s="1"/>
  <c r="F36" i="22" s="1"/>
  <c r="G61" i="25"/>
  <c r="G81" i="25" s="1"/>
  <c r="E91" i="25" s="1"/>
  <c r="G77" i="25"/>
  <c r="H23" i="25"/>
  <c r="H72" i="25"/>
  <c r="E88" i="25"/>
  <c r="D91" i="25"/>
  <c r="E90" i="25"/>
  <c r="H26" i="24"/>
  <c r="J23" i="24"/>
  <c r="J25" i="24" s="1"/>
  <c r="G2" i="23"/>
  <c r="F4" i="23"/>
  <c r="G36" i="22"/>
  <c r="G132" i="22"/>
  <c r="D62" i="22"/>
  <c r="G131" i="22"/>
  <c r="M63" i="22"/>
  <c r="I2" i="22"/>
  <c r="H4" i="22"/>
  <c r="H35" i="22" s="1"/>
  <c r="C130" i="22"/>
  <c r="C109" i="22"/>
  <c r="D109" i="22"/>
  <c r="D130" i="22"/>
  <c r="C65" i="22"/>
  <c r="B66" i="22"/>
  <c r="L63" i="22"/>
  <c r="U52" i="10"/>
  <c r="E44" i="19"/>
  <c r="C44" i="19"/>
  <c r="E40" i="19"/>
  <c r="C40" i="19"/>
  <c r="E36" i="19"/>
  <c r="C36" i="19"/>
  <c r="E32" i="19"/>
  <c r="C32" i="19"/>
  <c r="E52" i="19"/>
  <c r="C52" i="19"/>
  <c r="E48" i="19"/>
  <c r="C48" i="19"/>
  <c r="E30" i="19"/>
  <c r="C30" i="19"/>
  <c r="A57" i="19"/>
  <c r="B56" i="19"/>
  <c r="E55" i="19" s="1"/>
  <c r="L32" i="19"/>
  <c r="E45" i="19"/>
  <c r="L31" i="19" s="1"/>
  <c r="C45" i="19"/>
  <c r="E41" i="19"/>
  <c r="C41" i="19"/>
  <c r="E37" i="19"/>
  <c r="C37" i="19"/>
  <c r="E33" i="19"/>
  <c r="C33" i="19"/>
  <c r="E53" i="19"/>
  <c r="C53" i="19"/>
  <c r="E49" i="19"/>
  <c r="C49" i="19"/>
  <c r="C55" i="19"/>
  <c r="C46" i="19"/>
  <c r="E46" i="19"/>
  <c r="L30" i="19" s="1"/>
  <c r="E42" i="19"/>
  <c r="C42" i="19"/>
  <c r="E38" i="19"/>
  <c r="C38" i="19"/>
  <c r="E34" i="19"/>
  <c r="C34" i="19"/>
  <c r="E50" i="19"/>
  <c r="C50" i="19"/>
  <c r="C47" i="19"/>
  <c r="E47" i="19"/>
  <c r="K50" i="19"/>
  <c r="E43" i="19"/>
  <c r="C43" i="19"/>
  <c r="E39" i="19"/>
  <c r="C39" i="19"/>
  <c r="E35" i="19"/>
  <c r="C35" i="19"/>
  <c r="E31" i="19"/>
  <c r="C31" i="19"/>
  <c r="E51" i="19"/>
  <c r="C51" i="19"/>
  <c r="C54" i="19"/>
  <c r="E54" i="19"/>
  <c r="F34" i="19"/>
  <c r="K33" i="19"/>
  <c r="H33" i="19"/>
  <c r="I33" i="19" s="1"/>
  <c r="F37" i="22" l="1"/>
  <c r="H26" i="25"/>
  <c r="H73" i="25" s="1"/>
  <c r="H70" i="25"/>
  <c r="J23" i="25"/>
  <c r="H2" i="23"/>
  <c r="G4" i="23"/>
  <c r="G37" i="22"/>
  <c r="H36" i="22"/>
  <c r="D63" i="22"/>
  <c r="M65" i="22"/>
  <c r="L65" i="22"/>
  <c r="C108" i="22"/>
  <c r="E108" i="22" s="1"/>
  <c r="G108" i="22" s="1"/>
  <c r="C129" i="22"/>
  <c r="I4" i="22"/>
  <c r="I35" i="22" s="1"/>
  <c r="J2" i="22"/>
  <c r="B67" i="22"/>
  <c r="C66" i="22"/>
  <c r="D129" i="22"/>
  <c r="D108" i="22"/>
  <c r="E130" i="22"/>
  <c r="G130" i="22"/>
  <c r="F35" i="19"/>
  <c r="K34" i="19"/>
  <c r="L34" i="19" s="1"/>
  <c r="H34" i="19"/>
  <c r="I34" i="19" s="1"/>
  <c r="J34" i="19" s="1"/>
  <c r="K51" i="19"/>
  <c r="L33" i="19"/>
  <c r="A58" i="19"/>
  <c r="B57" i="19"/>
  <c r="E56" i="19" s="1"/>
  <c r="J33" i="19" s="1"/>
  <c r="M33" i="19" s="1"/>
  <c r="C56" i="19"/>
  <c r="M34" i="19" l="1"/>
  <c r="J25" i="25"/>
  <c r="J70" i="25"/>
  <c r="H4" i="23"/>
  <c r="I2" i="23"/>
  <c r="I36" i="22"/>
  <c r="H37" i="22"/>
  <c r="E129" i="22"/>
  <c r="G129" i="22"/>
  <c r="D107" i="22"/>
  <c r="D128" i="22"/>
  <c r="K2" i="22"/>
  <c r="J4" i="22"/>
  <c r="J35" i="22" s="1"/>
  <c r="B68" i="22"/>
  <c r="C67" i="22"/>
  <c r="C107" i="22"/>
  <c r="C128" i="22"/>
  <c r="M66" i="22"/>
  <c r="L66" i="22"/>
  <c r="A59" i="19"/>
  <c r="B58" i="19"/>
  <c r="E57" i="19" s="1"/>
  <c r="J32" i="19" s="1"/>
  <c r="M32" i="19" s="1"/>
  <c r="K52" i="19"/>
  <c r="C57" i="19"/>
  <c r="F36" i="19"/>
  <c r="K35" i="19"/>
  <c r="L35" i="19" s="1"/>
  <c r="H35" i="19"/>
  <c r="I35" i="19" s="1"/>
  <c r="J35" i="19" s="1"/>
  <c r="M35" i="19" s="1"/>
  <c r="J72" i="25" l="1"/>
  <c r="D88" i="25"/>
  <c r="I4" i="23"/>
  <c r="J2" i="23"/>
  <c r="J36" i="22"/>
  <c r="I37" i="22"/>
  <c r="D64" i="22"/>
  <c r="E128" i="22"/>
  <c r="G128" i="22"/>
  <c r="L2" i="22"/>
  <c r="K4" i="22"/>
  <c r="K35" i="22" s="1"/>
  <c r="B69" i="22"/>
  <c r="C68" i="22"/>
  <c r="D106" i="22"/>
  <c r="D127" i="22"/>
  <c r="M67" i="22"/>
  <c r="L67" i="22"/>
  <c r="C106" i="22"/>
  <c r="C127" i="22"/>
  <c r="F37" i="19"/>
  <c r="K36" i="19"/>
  <c r="L36" i="19" s="1"/>
  <c r="H36" i="19"/>
  <c r="I36" i="19" s="1"/>
  <c r="J36" i="19" s="1"/>
  <c r="A60" i="19"/>
  <c r="B60" i="19" s="1"/>
  <c r="B59" i="19"/>
  <c r="E58" i="19" s="1"/>
  <c r="J31" i="19" s="1"/>
  <c r="M31" i="19" s="1"/>
  <c r="C58" i="19"/>
  <c r="K53" i="19"/>
  <c r="C60" i="19" l="1"/>
  <c r="K2" i="23"/>
  <c r="J4" i="23"/>
  <c r="K36" i="22"/>
  <c r="J37" i="22"/>
  <c r="D65" i="22"/>
  <c r="D105" i="22"/>
  <c r="D125" i="22" s="1"/>
  <c r="D126" i="22"/>
  <c r="L4" i="22"/>
  <c r="L35" i="22" s="1"/>
  <c r="M2" i="22"/>
  <c r="C126" i="22"/>
  <c r="C105" i="22"/>
  <c r="C69" i="22"/>
  <c r="B70" i="22"/>
  <c r="E127" i="22"/>
  <c r="G127" i="22"/>
  <c r="M68" i="22"/>
  <c r="L68" i="22"/>
  <c r="K54" i="19"/>
  <c r="C59" i="19"/>
  <c r="E59" i="19"/>
  <c r="J30" i="19" s="1"/>
  <c r="M30" i="19" s="1"/>
  <c r="F38" i="19"/>
  <c r="K37" i="19"/>
  <c r="L37" i="19" s="1"/>
  <c r="H37" i="19"/>
  <c r="I37" i="19" s="1"/>
  <c r="J37" i="19" s="1"/>
  <c r="M36" i="19"/>
  <c r="L2" i="23" l="1"/>
  <c r="K4" i="23"/>
  <c r="K37" i="22"/>
  <c r="L36" i="22"/>
  <c r="D66" i="22"/>
  <c r="E126" i="22"/>
  <c r="G126" i="22"/>
  <c r="L69" i="22"/>
  <c r="M69" i="22"/>
  <c r="C125" i="22"/>
  <c r="C70" i="22"/>
  <c r="B71" i="22"/>
  <c r="M4" i="22"/>
  <c r="M35" i="22" s="1"/>
  <c r="N2" i="22"/>
  <c r="F39" i="19"/>
  <c r="K38" i="19"/>
  <c r="L38" i="19" s="1"/>
  <c r="H38" i="19"/>
  <c r="I38" i="19" s="1"/>
  <c r="J38" i="19" s="1"/>
  <c r="M38" i="19" s="1"/>
  <c r="K55" i="19"/>
  <c r="M37" i="19"/>
  <c r="L4" i="23" l="1"/>
  <c r="M2" i="23"/>
  <c r="M36" i="22"/>
  <c r="L37" i="22"/>
  <c r="D67" i="22"/>
  <c r="O2" i="22"/>
  <c r="N4" i="22"/>
  <c r="N35" i="22" s="1"/>
  <c r="L70" i="22"/>
  <c r="M70" i="22"/>
  <c r="B72" i="22"/>
  <c r="C71" i="22"/>
  <c r="E125" i="22"/>
  <c r="E134" i="22"/>
  <c r="K56" i="19"/>
  <c r="F40" i="19"/>
  <c r="K39" i="19"/>
  <c r="L39" i="19" s="1"/>
  <c r="H39" i="19"/>
  <c r="I39" i="19" s="1"/>
  <c r="J39" i="19" s="1"/>
  <c r="M39" i="19" s="1"/>
  <c r="M4" i="23" l="1"/>
  <c r="N2" i="23"/>
  <c r="N36" i="22"/>
  <c r="M37" i="22"/>
  <c r="D68" i="22"/>
  <c r="P2" i="22"/>
  <c r="O4" i="22"/>
  <c r="O35" i="22" s="1"/>
  <c r="B73" i="22"/>
  <c r="C72" i="22"/>
  <c r="G134" i="22"/>
  <c r="G125" i="22"/>
  <c r="L71" i="22"/>
  <c r="M71" i="22"/>
  <c r="F41" i="19"/>
  <c r="K40" i="19"/>
  <c r="L40" i="19" s="1"/>
  <c r="H40" i="19"/>
  <c r="I40" i="19" s="1"/>
  <c r="J40" i="19" s="1"/>
  <c r="M40" i="19" s="1"/>
  <c r="K57" i="19"/>
  <c r="O2" i="23" l="1"/>
  <c r="N4" i="23"/>
  <c r="O36" i="22"/>
  <c r="N37" i="22"/>
  <c r="D69" i="22"/>
  <c r="P4" i="22"/>
  <c r="P35" i="22" s="1"/>
  <c r="Q2" i="22"/>
  <c r="B74" i="22"/>
  <c r="C73" i="22"/>
  <c r="M72" i="22"/>
  <c r="L72" i="22"/>
  <c r="K41" i="19"/>
  <c r="L41" i="19" s="1"/>
  <c r="H41" i="19"/>
  <c r="I41" i="19" s="1"/>
  <c r="J41" i="19" s="1"/>
  <c r="M41" i="19" l="1"/>
  <c r="O4" i="23"/>
  <c r="P2" i="23"/>
  <c r="O37" i="22"/>
  <c r="P36" i="22"/>
  <c r="D70" i="22"/>
  <c r="M73" i="22"/>
  <c r="L73" i="22"/>
  <c r="B75" i="22"/>
  <c r="C74" i="22"/>
  <c r="Q4" i="22"/>
  <c r="Q35" i="22" s="1"/>
  <c r="R2" i="22"/>
  <c r="N20" i="15"/>
  <c r="B62" i="15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G67" i="15"/>
  <c r="G66" i="15"/>
  <c r="G65" i="15"/>
  <c r="G64" i="15"/>
  <c r="G79" i="15"/>
  <c r="G78" i="15"/>
  <c r="G77" i="15"/>
  <c r="G76" i="15"/>
  <c r="J77" i="15"/>
  <c r="J78" i="15"/>
  <c r="J79" i="15"/>
  <c r="J76" i="15"/>
  <c r="J65" i="15"/>
  <c r="J66" i="15"/>
  <c r="J67" i="15"/>
  <c r="J64" i="15"/>
  <c r="Q2" i="23" l="1"/>
  <c r="P4" i="23"/>
  <c r="Q36" i="22"/>
  <c r="P37" i="22"/>
  <c r="D71" i="22"/>
  <c r="M74" i="22"/>
  <c r="L74" i="22"/>
  <c r="B76" i="22"/>
  <c r="C75" i="22"/>
  <c r="S2" i="22"/>
  <c r="R4" i="22"/>
  <c r="R35" i="22" s="1"/>
  <c r="J134" i="15"/>
  <c r="F106" i="15"/>
  <c r="F107" i="15"/>
  <c r="F108" i="15"/>
  <c r="F109" i="15"/>
  <c r="F110" i="15"/>
  <c r="F111" i="15"/>
  <c r="F112" i="15"/>
  <c r="F105" i="15"/>
  <c r="C112" i="15"/>
  <c r="AH17" i="15"/>
  <c r="AI17" i="15"/>
  <c r="AH18" i="15"/>
  <c r="AI18" i="15"/>
  <c r="AH19" i="15"/>
  <c r="AI19" i="15"/>
  <c r="AH20" i="15"/>
  <c r="AI20" i="15"/>
  <c r="AH21" i="15"/>
  <c r="AI21" i="15"/>
  <c r="AH22" i="15"/>
  <c r="AI22" i="15"/>
  <c r="AH23" i="15"/>
  <c r="AI23" i="15"/>
  <c r="AH24" i="15"/>
  <c r="AI24" i="15"/>
  <c r="AH29" i="15" l="1"/>
  <c r="Q4" i="23"/>
  <c r="R2" i="23"/>
  <c r="R36" i="22"/>
  <c r="Q37" i="22"/>
  <c r="D72" i="22"/>
  <c r="B77" i="22"/>
  <c r="C76" i="22"/>
  <c r="L75" i="22"/>
  <c r="M75" i="22"/>
  <c r="T2" i="22"/>
  <c r="S4" i="22"/>
  <c r="S35" i="22" s="1"/>
  <c r="C111" i="15"/>
  <c r="E112" i="15"/>
  <c r="AI29" i="15"/>
  <c r="F114" i="15"/>
  <c r="C34" i="15"/>
  <c r="S2" i="23" l="1"/>
  <c r="R4" i="23"/>
  <c r="S36" i="22"/>
  <c r="R37" i="22"/>
  <c r="D73" i="22"/>
  <c r="B78" i="22"/>
  <c r="C77" i="22"/>
  <c r="M76" i="22"/>
  <c r="L76" i="22"/>
  <c r="T4" i="22"/>
  <c r="T35" i="22" s="1"/>
  <c r="U2" i="22"/>
  <c r="C110" i="15"/>
  <c r="E111" i="15"/>
  <c r="D112" i="15"/>
  <c r="D111" i="15" s="1"/>
  <c r="D110" i="15" s="1"/>
  <c r="D109" i="15" s="1"/>
  <c r="D108" i="15" s="1"/>
  <c r="D107" i="15" s="1"/>
  <c r="D106" i="15" s="1"/>
  <c r="D105" i="15" s="1"/>
  <c r="S4" i="23" l="1"/>
  <c r="T2" i="23"/>
  <c r="S37" i="22"/>
  <c r="T36" i="22"/>
  <c r="D74" i="22"/>
  <c r="V2" i="22"/>
  <c r="U4" i="22"/>
  <c r="U35" i="22" s="1"/>
  <c r="C78" i="22"/>
  <c r="B79" i="22"/>
  <c r="M77" i="22"/>
  <c r="L77" i="22"/>
  <c r="C109" i="15"/>
  <c r="C129" i="15" s="1"/>
  <c r="E110" i="15"/>
  <c r="G110" i="15" s="1"/>
  <c r="G130" i="15" s="1"/>
  <c r="D125" i="15"/>
  <c r="F125" i="15"/>
  <c r="D126" i="15"/>
  <c r="F126" i="15"/>
  <c r="D127" i="15"/>
  <c r="F127" i="15"/>
  <c r="D128" i="15"/>
  <c r="F128" i="15"/>
  <c r="D129" i="15"/>
  <c r="F129" i="15"/>
  <c r="D130" i="15"/>
  <c r="F130" i="15"/>
  <c r="D131" i="15"/>
  <c r="E131" i="15"/>
  <c r="F131" i="15"/>
  <c r="D132" i="15"/>
  <c r="E132" i="15"/>
  <c r="F132" i="15"/>
  <c r="C130" i="15"/>
  <c r="C131" i="15"/>
  <c r="G121" i="15"/>
  <c r="I122" i="15" s="1"/>
  <c r="J122" i="15" s="1"/>
  <c r="F121" i="15"/>
  <c r="E121" i="15"/>
  <c r="D121" i="15"/>
  <c r="C121" i="15"/>
  <c r="B121" i="15"/>
  <c r="G112" i="15"/>
  <c r="G132" i="15" s="1"/>
  <c r="G111" i="15"/>
  <c r="G131" i="15" s="1"/>
  <c r="F134" i="15"/>
  <c r="G101" i="15"/>
  <c r="F101" i="15"/>
  <c r="E101" i="15"/>
  <c r="D101" i="15"/>
  <c r="C101" i="15"/>
  <c r="B101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G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C20" i="15"/>
  <c r="D20" i="15"/>
  <c r="E20" i="15"/>
  <c r="F20" i="15"/>
  <c r="G20" i="15"/>
  <c r="H20" i="15"/>
  <c r="I20" i="15"/>
  <c r="J20" i="15"/>
  <c r="K20" i="15"/>
  <c r="L20" i="15"/>
  <c r="M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G20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E17" i="15"/>
  <c r="AF17" i="15"/>
  <c r="AG17" i="15"/>
  <c r="C17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B17" i="15"/>
  <c r="B18" i="15"/>
  <c r="B19" i="15"/>
  <c r="B20" i="15"/>
  <c r="B21" i="15"/>
  <c r="B22" i="15"/>
  <c r="B23" i="15"/>
  <c r="B24" i="15"/>
  <c r="B16" i="15"/>
  <c r="C4" i="15"/>
  <c r="C35" i="15" s="1"/>
  <c r="D2" i="15"/>
  <c r="D4" i="15" s="1"/>
  <c r="D35" i="15" s="1"/>
  <c r="D87" i="10"/>
  <c r="B28" i="10"/>
  <c r="B42" i="10" s="1"/>
  <c r="B56" i="10" s="1"/>
  <c r="B75" i="10" s="1"/>
  <c r="B27" i="10"/>
  <c r="B41" i="10" s="1"/>
  <c r="B55" i="10" s="1"/>
  <c r="B74" i="10" s="1"/>
  <c r="B26" i="10"/>
  <c r="B40" i="10" s="1"/>
  <c r="B54" i="10" s="1"/>
  <c r="B73" i="10" s="1"/>
  <c r="B25" i="10"/>
  <c r="B39" i="10" s="1"/>
  <c r="B53" i="10" s="1"/>
  <c r="B72" i="10" s="1"/>
  <c r="B24" i="10"/>
  <c r="B38" i="10" s="1"/>
  <c r="B52" i="10" s="1"/>
  <c r="B71" i="10" s="1"/>
  <c r="B23" i="10"/>
  <c r="B37" i="10" s="1"/>
  <c r="B51" i="10" s="1"/>
  <c r="B70" i="10" s="1"/>
  <c r="B22" i="10"/>
  <c r="B36" i="10" s="1"/>
  <c r="B50" i="10" s="1"/>
  <c r="B69" i="10" s="1"/>
  <c r="B21" i="10"/>
  <c r="B35" i="10" s="1"/>
  <c r="B49" i="10" s="1"/>
  <c r="B68" i="10" s="1"/>
  <c r="B20" i="10"/>
  <c r="B34" i="10" s="1"/>
  <c r="B48" i="10" s="1"/>
  <c r="B67" i="10" s="1"/>
  <c r="B19" i="10"/>
  <c r="B33" i="10" s="1"/>
  <c r="B47" i="10" s="1"/>
  <c r="B66" i="10" s="1"/>
  <c r="B18" i="10"/>
  <c r="B32" i="10" s="1"/>
  <c r="B46" i="10" s="1"/>
  <c r="B65" i="10" s="1"/>
  <c r="B17" i="10"/>
  <c r="B31" i="10" s="1"/>
  <c r="B45" i="10" s="1"/>
  <c r="B64" i="10" s="1"/>
  <c r="E39" i="13"/>
  <c r="E38" i="13"/>
  <c r="E37" i="13"/>
  <c r="E36" i="13"/>
  <c r="E35" i="13"/>
  <c r="E34" i="13"/>
  <c r="E33" i="13"/>
  <c r="E32" i="13"/>
  <c r="E31" i="13"/>
  <c r="E30" i="13"/>
  <c r="F16" i="13"/>
  <c r="F15" i="13"/>
  <c r="F14" i="13"/>
  <c r="G14" i="13" s="1"/>
  <c r="F13" i="13"/>
  <c r="F12" i="13"/>
  <c r="F11" i="13"/>
  <c r="F10" i="13"/>
  <c r="G10" i="13" s="1"/>
  <c r="F9" i="13"/>
  <c r="F8" i="13"/>
  <c r="D16" i="13"/>
  <c r="D15" i="13"/>
  <c r="D14" i="13"/>
  <c r="D13" i="13"/>
  <c r="D12" i="13"/>
  <c r="D11" i="13"/>
  <c r="D10" i="13"/>
  <c r="D9" i="13"/>
  <c r="D8" i="13"/>
  <c r="A36" i="13"/>
  <c r="A37" i="13" s="1"/>
  <c r="A38" i="13" s="1"/>
  <c r="A39" i="13" s="1"/>
  <c r="A35" i="13"/>
  <c r="C28" i="13"/>
  <c r="A12" i="13"/>
  <c r="A13" i="13" s="1"/>
  <c r="A14" i="13" s="1"/>
  <c r="A15" i="13" s="1"/>
  <c r="A16" i="13" s="1"/>
  <c r="C37" i="15" l="1"/>
  <c r="C36" i="15"/>
  <c r="G11" i="13"/>
  <c r="D36" i="15"/>
  <c r="D37" i="15"/>
  <c r="G15" i="13"/>
  <c r="G8" i="13"/>
  <c r="G12" i="13"/>
  <c r="G16" i="13"/>
  <c r="G9" i="13"/>
  <c r="G13" i="13"/>
  <c r="L28" i="15"/>
  <c r="L29" i="15" s="1"/>
  <c r="L31" i="15" s="1"/>
  <c r="T4" i="23"/>
  <c r="U2" i="23"/>
  <c r="U36" i="22"/>
  <c r="T37" i="22"/>
  <c r="D75" i="22"/>
  <c r="M78" i="22"/>
  <c r="L78" i="22"/>
  <c r="W2" i="22"/>
  <c r="V4" i="22"/>
  <c r="V35" i="22" s="1"/>
  <c r="C79" i="22"/>
  <c r="B80" i="22"/>
  <c r="C108" i="15"/>
  <c r="E109" i="15"/>
  <c r="E130" i="15"/>
  <c r="AC27" i="15" a="1"/>
  <c r="AC27" i="15" s="1"/>
  <c r="AC31" i="15" s="1"/>
  <c r="Y28" i="15"/>
  <c r="Y29" i="15" s="1"/>
  <c r="Y31" i="15" s="1"/>
  <c r="U28" i="15"/>
  <c r="U29" i="15" s="1"/>
  <c r="Z27" i="15" a="1"/>
  <c r="Z27" i="15" s="1"/>
  <c r="AB27" i="15" a="1"/>
  <c r="AB27" i="15" s="1"/>
  <c r="V27" i="15" a="1"/>
  <c r="V27" i="15" s="1"/>
  <c r="R27" i="15" a="1"/>
  <c r="R27" i="15" s="1"/>
  <c r="N28" i="15"/>
  <c r="N29" i="15" s="1"/>
  <c r="N31" i="15" s="1"/>
  <c r="J28" i="15"/>
  <c r="J29" i="15" s="1"/>
  <c r="J31" i="15" s="1"/>
  <c r="F28" i="15"/>
  <c r="F29" i="15" s="1"/>
  <c r="AA28" i="15"/>
  <c r="AA31" i="15" s="1"/>
  <c r="W28" i="15"/>
  <c r="W29" i="15" s="1"/>
  <c r="AG27" i="15" a="1"/>
  <c r="AG27" i="15" s="1"/>
  <c r="AE28" i="15"/>
  <c r="AE29" i="15" s="1"/>
  <c r="AE31" i="15" s="1"/>
  <c r="AD31" i="15" s="1"/>
  <c r="X27" i="15" a="1"/>
  <c r="X27" i="15" s="1"/>
  <c r="AF28" i="15"/>
  <c r="AF29" i="15" s="1"/>
  <c r="S28" i="15"/>
  <c r="S29" i="15" s="1"/>
  <c r="S31" i="15" s="1"/>
  <c r="O27" i="15" a="1"/>
  <c r="O27" i="15" s="1"/>
  <c r="K28" i="15"/>
  <c r="K29" i="15" s="1"/>
  <c r="G28" i="15"/>
  <c r="G29" i="15" s="1"/>
  <c r="G31" i="15" s="1"/>
  <c r="T27" i="15" a="1"/>
  <c r="T27" i="15" s="1"/>
  <c r="P27" i="15" a="1"/>
  <c r="P27" i="15" s="1"/>
  <c r="P31" i="15" s="1"/>
  <c r="L27" i="15" a="1"/>
  <c r="L27" i="15" s="1"/>
  <c r="H27" i="15" a="1"/>
  <c r="H27" i="15" s="1"/>
  <c r="H31" i="15" s="1"/>
  <c r="D27" i="15" a="1"/>
  <c r="D27" i="15" s="1"/>
  <c r="AD28" i="15"/>
  <c r="AD29" i="15" s="1"/>
  <c r="C27" i="15" a="1"/>
  <c r="C27" i="15" s="1"/>
  <c r="C28" i="15"/>
  <c r="C29" i="15" s="1"/>
  <c r="Q27" i="15" a="1"/>
  <c r="Q27" i="15" s="1"/>
  <c r="M28" i="15"/>
  <c r="M29" i="15" s="1"/>
  <c r="I28" i="15"/>
  <c r="I29" i="15" s="1"/>
  <c r="E28" i="15"/>
  <c r="E29" i="15" s="1"/>
  <c r="Q31" i="15"/>
  <c r="U31" i="15"/>
  <c r="K123" i="15"/>
  <c r="K122" i="15"/>
  <c r="L122" i="15" s="1"/>
  <c r="K31" i="15"/>
  <c r="F27" i="15" a="1"/>
  <c r="F27" i="15" s="1"/>
  <c r="F31" i="15" s="1"/>
  <c r="J27" i="15" a="1"/>
  <c r="J27" i="15" s="1"/>
  <c r="N27" i="15" a="1"/>
  <c r="N27" i="15" s="1"/>
  <c r="AF27" i="15" a="1"/>
  <c r="AF27" i="15" s="1"/>
  <c r="AB28" i="15"/>
  <c r="AB29" i="15" s="1"/>
  <c r="AB31" i="15" s="1"/>
  <c r="X28" i="15"/>
  <c r="X29" i="15" s="1"/>
  <c r="X31" i="15" s="1"/>
  <c r="T28" i="15"/>
  <c r="T29" i="15" s="1"/>
  <c r="T31" i="15" s="1"/>
  <c r="P28" i="15"/>
  <c r="P29" i="15" s="1"/>
  <c r="H28" i="15"/>
  <c r="H29" i="15" s="1"/>
  <c r="D28" i="15"/>
  <c r="D29" i="15" s="1"/>
  <c r="D31" i="15" s="1"/>
  <c r="U27" i="15" a="1"/>
  <c r="U27" i="15" s="1"/>
  <c r="Y27" i="15" a="1"/>
  <c r="Y27" i="15" s="1"/>
  <c r="Z31" i="15"/>
  <c r="E27" i="15" a="1"/>
  <c r="E27" i="15" s="1"/>
  <c r="E31" i="15" s="1"/>
  <c r="I27" i="15" a="1"/>
  <c r="I27" i="15" s="1"/>
  <c r="M27" i="15" a="1"/>
  <c r="M27" i="15" s="1"/>
  <c r="M31" i="15" s="1"/>
  <c r="AE27" i="15" a="1"/>
  <c r="AE27" i="15" s="1"/>
  <c r="AG28" i="15"/>
  <c r="AG29" i="15" s="1"/>
  <c r="AC28" i="15"/>
  <c r="AC29" i="15" s="1"/>
  <c r="Q28" i="15"/>
  <c r="Q29" i="15" s="1"/>
  <c r="AD27" i="15" a="1"/>
  <c r="AD27" i="15" s="1"/>
  <c r="Z28" i="15"/>
  <c r="Z29" i="15" s="1"/>
  <c r="V28" i="15"/>
  <c r="V29" i="15" s="1"/>
  <c r="V31" i="15" s="1"/>
  <c r="R28" i="15"/>
  <c r="R29" i="15" s="1"/>
  <c r="R31" i="15" s="1"/>
  <c r="S27" i="15" a="1"/>
  <c r="S27" i="15" s="1"/>
  <c r="W27" i="15" a="1"/>
  <c r="W27" i="15" s="1"/>
  <c r="W31" i="15" s="1"/>
  <c r="AA27" i="15" a="1"/>
  <c r="AA27" i="15" s="1"/>
  <c r="G27" i="15" a="1"/>
  <c r="G27" i="15" s="1"/>
  <c r="K27" i="15" a="1"/>
  <c r="K27" i="15" s="1"/>
  <c r="O28" i="15"/>
  <c r="O29" i="15" s="1"/>
  <c r="O31" i="15" s="1"/>
  <c r="C91" i="15"/>
  <c r="M91" i="15" s="1"/>
  <c r="E2" i="15"/>
  <c r="D5" i="10"/>
  <c r="J22" i="10"/>
  <c r="J8" i="10"/>
  <c r="I22" i="10"/>
  <c r="M22" i="10" s="1"/>
  <c r="H24" i="10"/>
  <c r="H12" i="10"/>
  <c r="G24" i="10"/>
  <c r="G25" i="10"/>
  <c r="G26" i="10"/>
  <c r="G27" i="10"/>
  <c r="G28" i="10"/>
  <c r="D91" i="10" s="1"/>
  <c r="G10" i="10"/>
  <c r="F27" i="10"/>
  <c r="F26" i="10"/>
  <c r="F10" i="10"/>
  <c r="F9" i="10"/>
  <c r="D14" i="10"/>
  <c r="D12" i="10" s="1"/>
  <c r="F14" i="10"/>
  <c r="F13" i="10"/>
  <c r="F28" i="10"/>
  <c r="E27" i="10"/>
  <c r="E25" i="10" s="1"/>
  <c r="E26" i="10"/>
  <c r="D28" i="10"/>
  <c r="E11" i="10"/>
  <c r="J11" i="10" s="1"/>
  <c r="E12" i="10"/>
  <c r="G20" i="13" l="1"/>
  <c r="J24" i="10"/>
  <c r="G18" i="13"/>
  <c r="G23" i="13" s="1"/>
  <c r="C30" i="13" s="1"/>
  <c r="F30" i="13" s="1"/>
  <c r="I26" i="10"/>
  <c r="D89" i="10" s="1"/>
  <c r="F12" i="10"/>
  <c r="F11" i="10" s="1"/>
  <c r="H11" i="10" s="1"/>
  <c r="AA29" i="15"/>
  <c r="C38" i="13"/>
  <c r="F38" i="13" s="1"/>
  <c r="C34" i="13"/>
  <c r="F34" i="13" s="1"/>
  <c r="C37" i="13"/>
  <c r="F37" i="13" s="1"/>
  <c r="C33" i="13"/>
  <c r="F33" i="13" s="1"/>
  <c r="C32" i="13"/>
  <c r="F32" i="13" s="1"/>
  <c r="C36" i="13"/>
  <c r="F36" i="13" s="1"/>
  <c r="C39" i="13"/>
  <c r="F39" i="13" s="1"/>
  <c r="C35" i="13"/>
  <c r="F35" i="13" s="1"/>
  <c r="H10" i="10"/>
  <c r="H9" i="10"/>
  <c r="I24" i="10"/>
  <c r="E39" i="10"/>
  <c r="H27" i="10"/>
  <c r="D90" i="10" s="1"/>
  <c r="G19" i="13"/>
  <c r="G21" i="13"/>
  <c r="U4" i="23"/>
  <c r="V2" i="23"/>
  <c r="V36" i="22"/>
  <c r="U37" i="22"/>
  <c r="D76" i="22"/>
  <c r="X2" i="22"/>
  <c r="W4" i="22"/>
  <c r="W35" i="22" s="1"/>
  <c r="L79" i="22"/>
  <c r="M79" i="22"/>
  <c r="B81" i="22"/>
  <c r="C80" i="22"/>
  <c r="C107" i="15"/>
  <c r="E108" i="15"/>
  <c r="C128" i="15"/>
  <c r="E129" i="15"/>
  <c r="G109" i="15"/>
  <c r="G129" i="15" s="1"/>
  <c r="AF31" i="15"/>
  <c r="I31" i="15"/>
  <c r="L123" i="15"/>
  <c r="L91" i="15"/>
  <c r="C74" i="15"/>
  <c r="M74" i="15" s="1"/>
  <c r="C87" i="15"/>
  <c r="M87" i="15" s="1"/>
  <c r="C71" i="15"/>
  <c r="M71" i="15" s="1"/>
  <c r="C88" i="15"/>
  <c r="M88" i="15" s="1"/>
  <c r="C72" i="15"/>
  <c r="M72" i="15" s="1"/>
  <c r="C85" i="15"/>
  <c r="M85" i="15" s="1"/>
  <c r="C69" i="15"/>
  <c r="M69" i="15" s="1"/>
  <c r="C86" i="15"/>
  <c r="M86" i="15" s="1"/>
  <c r="C70" i="15"/>
  <c r="M70" i="15" s="1"/>
  <c r="C92" i="15"/>
  <c r="M92" i="15" s="1"/>
  <c r="C76" i="15"/>
  <c r="M76" i="15" s="1"/>
  <c r="C90" i="15"/>
  <c r="M90" i="15" s="1"/>
  <c r="C79" i="15"/>
  <c r="M79" i="15" s="1"/>
  <c r="C63" i="15"/>
  <c r="C80" i="15"/>
  <c r="M80" i="15" s="1"/>
  <c r="C64" i="15"/>
  <c r="M64" i="15" s="1"/>
  <c r="C77" i="15"/>
  <c r="M77" i="15" s="1"/>
  <c r="C61" i="15"/>
  <c r="C78" i="15"/>
  <c r="M78" i="15" s="1"/>
  <c r="C62" i="15"/>
  <c r="C75" i="15"/>
  <c r="M75" i="15" s="1"/>
  <c r="C89" i="15"/>
  <c r="M89" i="15" s="1"/>
  <c r="C73" i="15"/>
  <c r="M73" i="15" s="1"/>
  <c r="C83" i="15"/>
  <c r="M83" i="15" s="1"/>
  <c r="C67" i="15"/>
  <c r="M67" i="15" s="1"/>
  <c r="C84" i="15"/>
  <c r="M84" i="15" s="1"/>
  <c r="C68" i="15"/>
  <c r="M68" i="15" s="1"/>
  <c r="C81" i="15"/>
  <c r="M81" i="15" s="1"/>
  <c r="C65" i="15"/>
  <c r="M65" i="15" s="1"/>
  <c r="C82" i="15"/>
  <c r="M82" i="15" s="1"/>
  <c r="C66" i="15"/>
  <c r="M66" i="15" s="1"/>
  <c r="E4" i="15"/>
  <c r="E35" i="15" s="1"/>
  <c r="F2" i="15"/>
  <c r="F25" i="10"/>
  <c r="C31" i="13" l="1"/>
  <c r="F31" i="13" s="1"/>
  <c r="M61" i="15"/>
  <c r="L61" i="15"/>
  <c r="J128" i="15"/>
  <c r="F41" i="13"/>
  <c r="E37" i="15"/>
  <c r="E36" i="15"/>
  <c r="W2" i="23"/>
  <c r="V4" i="23"/>
  <c r="W36" i="22"/>
  <c r="V37" i="22"/>
  <c r="D77" i="22"/>
  <c r="M80" i="22"/>
  <c r="L80" i="22"/>
  <c r="X4" i="22"/>
  <c r="X35" i="22" s="1"/>
  <c r="Y2" i="22"/>
  <c r="C81" i="22"/>
  <c r="B82" i="22"/>
  <c r="H25" i="10"/>
  <c r="H23" i="10" s="1"/>
  <c r="J23" i="10" s="1"/>
  <c r="I25" i="10"/>
  <c r="C106" i="15"/>
  <c r="E107" i="15"/>
  <c r="C127" i="15"/>
  <c r="E128" i="15"/>
  <c r="G108" i="15"/>
  <c r="G128" i="15" s="1"/>
  <c r="D63" i="15"/>
  <c r="M63" i="15"/>
  <c r="D62" i="15"/>
  <c r="M62" i="15"/>
  <c r="D64" i="15"/>
  <c r="L81" i="15"/>
  <c r="L62" i="15"/>
  <c r="L64" i="15"/>
  <c r="L90" i="15"/>
  <c r="L86" i="15"/>
  <c r="L65" i="15"/>
  <c r="L75" i="15"/>
  <c r="I129" i="15" s="1"/>
  <c r="L79" i="15"/>
  <c r="L82" i="15"/>
  <c r="L84" i="15"/>
  <c r="L89" i="15"/>
  <c r="L63" i="15"/>
  <c r="L92" i="15"/>
  <c r="L85" i="15"/>
  <c r="L87" i="15"/>
  <c r="J132" i="15" s="1"/>
  <c r="L83" i="15"/>
  <c r="L67" i="15"/>
  <c r="L77" i="15"/>
  <c r="L70" i="15"/>
  <c r="L72" i="15"/>
  <c r="L74" i="15"/>
  <c r="I130" i="15" s="1"/>
  <c r="L66" i="15"/>
  <c r="L68" i="15"/>
  <c r="L73" i="15"/>
  <c r="I131" i="15" s="1"/>
  <c r="L78" i="15"/>
  <c r="L80" i="15"/>
  <c r="L76" i="15"/>
  <c r="I128" i="15" s="1"/>
  <c r="L69" i="15"/>
  <c r="L71" i="15"/>
  <c r="L88" i="15"/>
  <c r="C93" i="15"/>
  <c r="M93" i="15" s="1"/>
  <c r="F4" i="15"/>
  <c r="F35" i="15" s="1"/>
  <c r="G2" i="15"/>
  <c r="J25" i="10" l="1"/>
  <c r="D88" i="10" s="1"/>
  <c r="K128" i="15"/>
  <c r="L128" i="15" s="1"/>
  <c r="F37" i="15"/>
  <c r="F36" i="15"/>
  <c r="X2" i="23"/>
  <c r="W4" i="23"/>
  <c r="W37" i="22"/>
  <c r="X36" i="22"/>
  <c r="D78" i="22"/>
  <c r="L81" i="22"/>
  <c r="M81" i="22"/>
  <c r="C82" i="22"/>
  <c r="B83" i="22"/>
  <c r="Y4" i="22"/>
  <c r="Y35" i="22" s="1"/>
  <c r="Z2" i="22"/>
  <c r="I127" i="15"/>
  <c r="C105" i="15"/>
  <c r="E106" i="15"/>
  <c r="C126" i="15"/>
  <c r="I126" i="15" s="1"/>
  <c r="E127" i="15"/>
  <c r="G107" i="15"/>
  <c r="G127" i="15" s="1"/>
  <c r="J127" i="15"/>
  <c r="J130" i="15"/>
  <c r="K130" i="15" s="1"/>
  <c r="L130" i="15" s="1"/>
  <c r="J131" i="15"/>
  <c r="K131" i="15" s="1"/>
  <c r="L131" i="15" s="1"/>
  <c r="J129" i="15"/>
  <c r="K129" i="15" s="1"/>
  <c r="L129" i="15" s="1"/>
  <c r="D65" i="15"/>
  <c r="L93" i="15"/>
  <c r="J126" i="15" s="1"/>
  <c r="C94" i="15"/>
  <c r="M94" i="15" s="1"/>
  <c r="G81" i="15" s="1"/>
  <c r="G4" i="15"/>
  <c r="G35" i="15" s="1"/>
  <c r="H2" i="15"/>
  <c r="E33" i="10"/>
  <c r="F33" i="10"/>
  <c r="G33" i="10"/>
  <c r="H33" i="10"/>
  <c r="I33" i="10"/>
  <c r="J33" i="10"/>
  <c r="K33" i="10"/>
  <c r="L33" i="10"/>
  <c r="M33" i="10"/>
  <c r="N33" i="10"/>
  <c r="O33" i="10"/>
  <c r="P33" i="10"/>
  <c r="E34" i="10"/>
  <c r="E67" i="10" s="1"/>
  <c r="F34" i="10"/>
  <c r="G34" i="10"/>
  <c r="H34" i="10"/>
  <c r="H67" i="10" s="1"/>
  <c r="I34" i="10"/>
  <c r="I67" i="10" s="1"/>
  <c r="J34" i="10"/>
  <c r="K34" i="10"/>
  <c r="L34" i="10"/>
  <c r="L67" i="10" s="1"/>
  <c r="M34" i="10"/>
  <c r="M67" i="10" s="1"/>
  <c r="N34" i="10"/>
  <c r="O34" i="10"/>
  <c r="P34" i="10"/>
  <c r="E35" i="10"/>
  <c r="E68" i="10" s="1"/>
  <c r="F35" i="10"/>
  <c r="G35" i="10"/>
  <c r="H35" i="10"/>
  <c r="I35" i="10"/>
  <c r="I68" i="10" s="1"/>
  <c r="J35" i="10"/>
  <c r="K35" i="10"/>
  <c r="L35" i="10"/>
  <c r="M35" i="10"/>
  <c r="M68" i="10" s="1"/>
  <c r="N35" i="10"/>
  <c r="O35" i="10"/>
  <c r="P35" i="10"/>
  <c r="E36" i="10"/>
  <c r="E69" i="10" s="1"/>
  <c r="F36" i="10"/>
  <c r="G36" i="10"/>
  <c r="H36" i="10"/>
  <c r="I36" i="10"/>
  <c r="I69" i="10" s="1"/>
  <c r="K36" i="10"/>
  <c r="L36" i="10"/>
  <c r="M36" i="10"/>
  <c r="M69" i="10" s="1"/>
  <c r="N36" i="10"/>
  <c r="O36" i="10"/>
  <c r="P36" i="10"/>
  <c r="E37" i="10"/>
  <c r="E70" i="10" s="1"/>
  <c r="F37" i="10"/>
  <c r="G37" i="10"/>
  <c r="H37" i="10"/>
  <c r="I37" i="10"/>
  <c r="I70" i="10" s="1"/>
  <c r="J37" i="10"/>
  <c r="K37" i="10"/>
  <c r="L37" i="10"/>
  <c r="M37" i="10"/>
  <c r="M70" i="10" s="1"/>
  <c r="N37" i="10"/>
  <c r="O37" i="10"/>
  <c r="P37" i="10"/>
  <c r="E38" i="10"/>
  <c r="E71" i="10" s="1"/>
  <c r="F38" i="10"/>
  <c r="G38" i="10"/>
  <c r="I38" i="10"/>
  <c r="I71" i="10" s="1"/>
  <c r="J38" i="10"/>
  <c r="K38" i="10"/>
  <c r="L38" i="10"/>
  <c r="M38" i="10"/>
  <c r="M71" i="10" s="1"/>
  <c r="N38" i="10"/>
  <c r="O38" i="10"/>
  <c r="P38" i="10"/>
  <c r="E72" i="10"/>
  <c r="F39" i="10"/>
  <c r="G39" i="10"/>
  <c r="H39" i="10"/>
  <c r="I39" i="10"/>
  <c r="I72" i="10" s="1"/>
  <c r="K39" i="10"/>
  <c r="L39" i="10"/>
  <c r="M39" i="10"/>
  <c r="M72" i="10" s="1"/>
  <c r="N39" i="10"/>
  <c r="O39" i="10"/>
  <c r="P39" i="10"/>
  <c r="E40" i="10"/>
  <c r="E73" i="10" s="1"/>
  <c r="F40" i="10"/>
  <c r="G40" i="10"/>
  <c r="I40" i="10"/>
  <c r="I73" i="10" s="1"/>
  <c r="J40" i="10"/>
  <c r="K40" i="10"/>
  <c r="L40" i="10"/>
  <c r="M40" i="10"/>
  <c r="M73" i="10" s="1"/>
  <c r="N40" i="10"/>
  <c r="O40" i="10"/>
  <c r="P40" i="10"/>
  <c r="E41" i="10"/>
  <c r="E74" i="10" s="1"/>
  <c r="F41" i="10"/>
  <c r="G41" i="10"/>
  <c r="H41" i="10"/>
  <c r="I41" i="10"/>
  <c r="I74" i="10" s="1"/>
  <c r="J41" i="10"/>
  <c r="K41" i="10"/>
  <c r="L41" i="10"/>
  <c r="M41" i="10"/>
  <c r="M74" i="10" s="1"/>
  <c r="N41" i="10"/>
  <c r="O41" i="10"/>
  <c r="P41" i="10"/>
  <c r="E42" i="10"/>
  <c r="E75" i="10" s="1"/>
  <c r="F42" i="10"/>
  <c r="G42" i="10"/>
  <c r="H42" i="10"/>
  <c r="I42" i="10"/>
  <c r="I75" i="10" s="1"/>
  <c r="J42" i="10"/>
  <c r="K42" i="10"/>
  <c r="L42" i="10"/>
  <c r="M42" i="10"/>
  <c r="M75" i="10" s="1"/>
  <c r="N42" i="10"/>
  <c r="O42" i="10"/>
  <c r="P42" i="10"/>
  <c r="D33" i="10"/>
  <c r="D34" i="10"/>
  <c r="D35" i="10"/>
  <c r="D36" i="10"/>
  <c r="D37" i="10"/>
  <c r="D38" i="10"/>
  <c r="D39" i="10"/>
  <c r="D40" i="10"/>
  <c r="D41" i="10"/>
  <c r="D42" i="10"/>
  <c r="C33" i="10"/>
  <c r="C34" i="10"/>
  <c r="C67" i="10" s="1"/>
  <c r="C35" i="10"/>
  <c r="C68" i="10" s="1"/>
  <c r="C36" i="10"/>
  <c r="C69" i="10" s="1"/>
  <c r="C37" i="10"/>
  <c r="C70" i="10" s="1"/>
  <c r="C38" i="10"/>
  <c r="C71" i="10" s="1"/>
  <c r="C39" i="10"/>
  <c r="C72" i="10" s="1"/>
  <c r="C40" i="10"/>
  <c r="C73" i="10" s="1"/>
  <c r="C41" i="10"/>
  <c r="C74" i="10" s="1"/>
  <c r="C42" i="10"/>
  <c r="C75" i="10" s="1"/>
  <c r="D18" i="10"/>
  <c r="D32" i="10" s="1"/>
  <c r="D65" i="10" s="1"/>
  <c r="E18" i="10"/>
  <c r="E32" i="10" s="1"/>
  <c r="F18" i="10"/>
  <c r="F32" i="10" s="1"/>
  <c r="F65" i="10" s="1"/>
  <c r="G18" i="10"/>
  <c r="G32" i="10" s="1"/>
  <c r="G65" i="10" s="1"/>
  <c r="B91" i="10" s="1"/>
  <c r="H18" i="10"/>
  <c r="H32" i="10" s="1"/>
  <c r="H65" i="10" s="1"/>
  <c r="B90" i="10" s="1"/>
  <c r="I18" i="10"/>
  <c r="I32" i="10" s="1"/>
  <c r="J18" i="10"/>
  <c r="J32" i="10" s="1"/>
  <c r="J65" i="10" s="1"/>
  <c r="B88" i="10" s="1"/>
  <c r="K18" i="10"/>
  <c r="K32" i="10" s="1"/>
  <c r="K65" i="10" s="1"/>
  <c r="B87" i="10" s="1"/>
  <c r="L18" i="10"/>
  <c r="L32" i="10" s="1"/>
  <c r="L65" i="10" s="1"/>
  <c r="M18" i="10"/>
  <c r="M32" i="10" s="1"/>
  <c r="N18" i="10"/>
  <c r="N32" i="10" s="1"/>
  <c r="N65" i="10" s="1"/>
  <c r="O18" i="10"/>
  <c r="O32" i="10" s="1"/>
  <c r="O65" i="10" s="1"/>
  <c r="P18" i="10"/>
  <c r="P32" i="10" s="1"/>
  <c r="P65" i="10" s="1"/>
  <c r="C18" i="10"/>
  <c r="C32" i="10" s="1"/>
  <c r="C65" i="10" s="1"/>
  <c r="C17" i="10"/>
  <c r="C31" i="10" s="1"/>
  <c r="C45" i="10" s="1"/>
  <c r="K127" i="15" l="1"/>
  <c r="L127" i="15" s="1"/>
  <c r="L46" i="10"/>
  <c r="M65" i="10"/>
  <c r="H46" i="10"/>
  <c r="I65" i="10"/>
  <c r="B89" i="10" s="1"/>
  <c r="D46" i="10"/>
  <c r="E65" i="10"/>
  <c r="M59" i="10"/>
  <c r="M60" i="10" s="1"/>
  <c r="L59" i="10"/>
  <c r="L60" i="10" s="1"/>
  <c r="N59" i="10"/>
  <c r="N60" i="10" s="1"/>
  <c r="G36" i="15"/>
  <c r="G37" i="15"/>
  <c r="D66" i="15" s="1"/>
  <c r="Y2" i="23"/>
  <c r="X4" i="23"/>
  <c r="Y36" i="22"/>
  <c r="X37" i="22"/>
  <c r="D79" i="22"/>
  <c r="AA2" i="22"/>
  <c r="Z4" i="22"/>
  <c r="Z35" i="22" s="1"/>
  <c r="L82" i="22"/>
  <c r="M82" i="22"/>
  <c r="B84" i="22"/>
  <c r="C83" i="22"/>
  <c r="E105" i="15"/>
  <c r="C125" i="15"/>
  <c r="I125" i="15" s="1"/>
  <c r="E126" i="15"/>
  <c r="G106" i="15"/>
  <c r="G126" i="15" s="1"/>
  <c r="L94" i="15"/>
  <c r="G69" i="15" s="1"/>
  <c r="H4" i="15"/>
  <c r="H35" i="15" s="1"/>
  <c r="I2" i="15"/>
  <c r="C77" i="10"/>
  <c r="C78" i="10" s="1"/>
  <c r="C66" i="10"/>
  <c r="C56" i="10"/>
  <c r="D75" i="10"/>
  <c r="C52" i="10"/>
  <c r="D71" i="10"/>
  <c r="C48" i="10"/>
  <c r="D67" i="10"/>
  <c r="M56" i="10"/>
  <c r="N75" i="10"/>
  <c r="I56" i="10"/>
  <c r="J75" i="10"/>
  <c r="E56" i="10"/>
  <c r="F75" i="10"/>
  <c r="M55" i="10"/>
  <c r="N74" i="10"/>
  <c r="I55" i="10"/>
  <c r="J74" i="10"/>
  <c r="E55" i="10"/>
  <c r="F74" i="10"/>
  <c r="M54" i="10"/>
  <c r="N73" i="10"/>
  <c r="I54" i="10"/>
  <c r="J73" i="10"/>
  <c r="E54" i="10"/>
  <c r="F73" i="10"/>
  <c r="M53" i="10"/>
  <c r="N72" i="10"/>
  <c r="E53" i="10"/>
  <c r="F72" i="10"/>
  <c r="M52" i="10"/>
  <c r="N71" i="10"/>
  <c r="I52" i="10"/>
  <c r="J71" i="10"/>
  <c r="E52" i="10"/>
  <c r="F71" i="10"/>
  <c r="M51" i="10"/>
  <c r="N70" i="10"/>
  <c r="I51" i="10"/>
  <c r="J70" i="10"/>
  <c r="E51" i="10"/>
  <c r="F70" i="10"/>
  <c r="M50" i="10"/>
  <c r="N69" i="10"/>
  <c r="E50" i="10"/>
  <c r="F69" i="10"/>
  <c r="M49" i="10"/>
  <c r="N68" i="10"/>
  <c r="I49" i="10"/>
  <c r="J68" i="10"/>
  <c r="E49" i="10"/>
  <c r="F68" i="10"/>
  <c r="M48" i="10"/>
  <c r="N67" i="10"/>
  <c r="I48" i="10"/>
  <c r="J67" i="10"/>
  <c r="E48" i="10"/>
  <c r="F67" i="10"/>
  <c r="M47" i="10"/>
  <c r="N77" i="10"/>
  <c r="N78" i="10" s="1"/>
  <c r="N66" i="10"/>
  <c r="J66" i="10"/>
  <c r="F77" i="10"/>
  <c r="F78" i="10" s="1"/>
  <c r="F66" i="10"/>
  <c r="C53" i="10"/>
  <c r="D72" i="10"/>
  <c r="C49" i="10"/>
  <c r="D68" i="10"/>
  <c r="N56" i="10"/>
  <c r="O75" i="10"/>
  <c r="J56" i="10"/>
  <c r="K75" i="10"/>
  <c r="F56" i="10"/>
  <c r="G75" i="10"/>
  <c r="N55" i="10"/>
  <c r="O74" i="10"/>
  <c r="J55" i="10"/>
  <c r="K74" i="10"/>
  <c r="F55" i="10"/>
  <c r="G74" i="10"/>
  <c r="N54" i="10"/>
  <c r="O73" i="10"/>
  <c r="J54" i="10"/>
  <c r="K73" i="10"/>
  <c r="F54" i="10"/>
  <c r="G73" i="10"/>
  <c r="N53" i="10"/>
  <c r="O72" i="10"/>
  <c r="K72" i="10"/>
  <c r="F53" i="10"/>
  <c r="G72" i="10"/>
  <c r="N52" i="10"/>
  <c r="O71" i="10"/>
  <c r="J52" i="10"/>
  <c r="K71" i="10"/>
  <c r="F52" i="10"/>
  <c r="G71" i="10"/>
  <c r="N51" i="10"/>
  <c r="O70" i="10"/>
  <c r="J51" i="10"/>
  <c r="K70" i="10"/>
  <c r="F51" i="10"/>
  <c r="G70" i="10"/>
  <c r="N50" i="10"/>
  <c r="O69" i="10"/>
  <c r="K69" i="10"/>
  <c r="F50" i="10"/>
  <c r="G69" i="10"/>
  <c r="N49" i="10"/>
  <c r="O68" i="10"/>
  <c r="J49" i="10"/>
  <c r="K68" i="10"/>
  <c r="F49" i="10"/>
  <c r="G68" i="10"/>
  <c r="N48" i="10"/>
  <c r="O67" i="10"/>
  <c r="J48" i="10"/>
  <c r="K67" i="10"/>
  <c r="F48" i="10"/>
  <c r="G67" i="10"/>
  <c r="N47" i="10"/>
  <c r="O77" i="10"/>
  <c r="O78" i="10" s="1"/>
  <c r="O66" i="10"/>
  <c r="K77" i="10"/>
  <c r="K78" i="10" s="1"/>
  <c r="K66" i="10"/>
  <c r="G77" i="10"/>
  <c r="G78" i="10" s="1"/>
  <c r="G66" i="10"/>
  <c r="C54" i="10"/>
  <c r="D73" i="10"/>
  <c r="C50" i="10"/>
  <c r="D69" i="10"/>
  <c r="O56" i="10"/>
  <c r="P75" i="10"/>
  <c r="K56" i="10"/>
  <c r="L75" i="10"/>
  <c r="G56" i="10"/>
  <c r="H75" i="10"/>
  <c r="O55" i="10"/>
  <c r="P74" i="10"/>
  <c r="K55" i="10"/>
  <c r="L74" i="10"/>
  <c r="G55" i="10"/>
  <c r="H74" i="10"/>
  <c r="O54" i="10"/>
  <c r="P73" i="10"/>
  <c r="K54" i="10"/>
  <c r="L73" i="10"/>
  <c r="O53" i="10"/>
  <c r="P72" i="10"/>
  <c r="K53" i="10"/>
  <c r="L72" i="10"/>
  <c r="G53" i="10"/>
  <c r="H72" i="10"/>
  <c r="O52" i="10"/>
  <c r="P71" i="10"/>
  <c r="K52" i="10"/>
  <c r="L71" i="10"/>
  <c r="O51" i="10"/>
  <c r="P70" i="10"/>
  <c r="K51" i="10"/>
  <c r="L70" i="10"/>
  <c r="G51" i="10"/>
  <c r="H70" i="10"/>
  <c r="O50" i="10"/>
  <c r="P69" i="10"/>
  <c r="K50" i="10"/>
  <c r="L69" i="10"/>
  <c r="G50" i="10"/>
  <c r="H69" i="10"/>
  <c r="O49" i="10"/>
  <c r="P68" i="10"/>
  <c r="K49" i="10"/>
  <c r="L68" i="10"/>
  <c r="G49" i="10"/>
  <c r="H68" i="10"/>
  <c r="O48" i="10"/>
  <c r="P67" i="10"/>
  <c r="P77" i="10"/>
  <c r="P78" i="10" s="1"/>
  <c r="P79" i="10" s="1"/>
  <c r="P66" i="10"/>
  <c r="L77" i="10"/>
  <c r="L78" i="10" s="1"/>
  <c r="L79" i="10" s="1"/>
  <c r="L66" i="10"/>
  <c r="H66" i="10"/>
  <c r="C55" i="10"/>
  <c r="D74" i="10"/>
  <c r="C51" i="10"/>
  <c r="D70" i="10"/>
  <c r="D77" i="10"/>
  <c r="D78" i="10" s="1"/>
  <c r="D79" i="10" s="1"/>
  <c r="D66" i="10"/>
  <c r="M66" i="10"/>
  <c r="M77" i="10"/>
  <c r="M78" i="10" s="1"/>
  <c r="I66" i="10"/>
  <c r="I77" i="10"/>
  <c r="I78" i="10" s="1"/>
  <c r="E66" i="10"/>
  <c r="E77" i="10"/>
  <c r="E78" i="10" s="1"/>
  <c r="I47" i="10"/>
  <c r="E47" i="10"/>
  <c r="E59" i="10"/>
  <c r="J47" i="10"/>
  <c r="F47" i="10"/>
  <c r="F59" i="10"/>
  <c r="F60" i="10" s="1"/>
  <c r="K47" i="10"/>
  <c r="K59" i="10"/>
  <c r="G47" i="10"/>
  <c r="K48" i="10"/>
  <c r="G48" i="10"/>
  <c r="O47" i="10"/>
  <c r="O58" i="10" s="1"/>
  <c r="C47" i="10"/>
  <c r="C59" i="10"/>
  <c r="H47" i="10"/>
  <c r="D47" i="10"/>
  <c r="D59" i="10"/>
  <c r="D60" i="10" s="1"/>
  <c r="L56" i="10"/>
  <c r="H56" i="10"/>
  <c r="D56" i="10"/>
  <c r="L55" i="10"/>
  <c r="H55" i="10"/>
  <c r="D55" i="10"/>
  <c r="L54" i="10"/>
  <c r="D54" i="10"/>
  <c r="L53" i="10"/>
  <c r="H53" i="10"/>
  <c r="D53" i="10"/>
  <c r="L52" i="10"/>
  <c r="D52" i="10"/>
  <c r="L51" i="10"/>
  <c r="H51" i="10"/>
  <c r="D51" i="10"/>
  <c r="L50" i="10"/>
  <c r="H50" i="10"/>
  <c r="D50" i="10"/>
  <c r="L49" i="10"/>
  <c r="H49" i="10"/>
  <c r="D49" i="10"/>
  <c r="L48" i="10"/>
  <c r="H48" i="10"/>
  <c r="D48" i="10"/>
  <c r="L47" i="10"/>
  <c r="N46" i="10"/>
  <c r="J46" i="10"/>
  <c r="F46" i="10"/>
  <c r="O46" i="10"/>
  <c r="K46" i="10"/>
  <c r="G46" i="10"/>
  <c r="C46" i="10"/>
  <c r="I46" i="10"/>
  <c r="M46" i="10"/>
  <c r="E46" i="10"/>
  <c r="N58" i="10" l="1"/>
  <c r="H36" i="15"/>
  <c r="H37" i="15"/>
  <c r="K60" i="10"/>
  <c r="Y4" i="23"/>
  <c r="Z2" i="23"/>
  <c r="Z36" i="22"/>
  <c r="Y37" i="22"/>
  <c r="D80" i="22"/>
  <c r="M83" i="22"/>
  <c r="L83" i="22"/>
  <c r="AB2" i="22"/>
  <c r="AA4" i="22"/>
  <c r="AA35" i="22" s="1"/>
  <c r="B85" i="22"/>
  <c r="C84" i="22"/>
  <c r="M58" i="10"/>
  <c r="E125" i="15"/>
  <c r="E114" i="15"/>
  <c r="E134" i="15" s="1"/>
  <c r="G105" i="15"/>
  <c r="E60" i="10"/>
  <c r="K126" i="15"/>
  <c r="L126" i="15" s="1"/>
  <c r="J125" i="15"/>
  <c r="K125" i="15" s="1"/>
  <c r="D67" i="15"/>
  <c r="I4" i="15"/>
  <c r="I35" i="15" s="1"/>
  <c r="J2" i="15"/>
  <c r="F79" i="10"/>
  <c r="N79" i="10"/>
  <c r="E79" i="10"/>
  <c r="M79" i="10"/>
  <c r="G79" i="10"/>
  <c r="O79" i="10"/>
  <c r="F58" i="10"/>
  <c r="E58" i="10"/>
  <c r="C58" i="10"/>
  <c r="C60" i="10"/>
  <c r="L58" i="10"/>
  <c r="K58" i="10"/>
  <c r="D58" i="10"/>
  <c r="I37" i="15" l="1"/>
  <c r="D68" i="15" s="1"/>
  <c r="I36" i="15"/>
  <c r="AA2" i="23"/>
  <c r="Z4" i="23"/>
  <c r="AA36" i="22"/>
  <c r="Z37" i="22"/>
  <c r="D81" i="22"/>
  <c r="B86" i="22"/>
  <c r="C85" i="22"/>
  <c r="AC2" i="22"/>
  <c r="AB4" i="22"/>
  <c r="AB35" i="22" s="1"/>
  <c r="M84" i="22"/>
  <c r="L84" i="22"/>
  <c r="G114" i="15"/>
  <c r="G134" i="15" s="1"/>
  <c r="G125" i="15"/>
  <c r="L125" i="15" s="1"/>
  <c r="J4" i="15"/>
  <c r="J35" i="15" s="1"/>
  <c r="K2" i="15"/>
  <c r="C28" i="4"/>
  <c r="A12" i="1"/>
  <c r="A13" i="1" s="1"/>
  <c r="A14" i="1" s="1"/>
  <c r="A15" i="1" s="1"/>
  <c r="A16" i="1" s="1"/>
  <c r="A35" i="4"/>
  <c r="A36" i="4" s="1"/>
  <c r="A37" i="4" s="1"/>
  <c r="A38" i="4" s="1"/>
  <c r="A39" i="4" s="1"/>
  <c r="A12" i="4"/>
  <c r="A13" i="4" s="1"/>
  <c r="A14" i="4" s="1"/>
  <c r="A15" i="4" s="1"/>
  <c r="A16" i="4" s="1"/>
  <c r="H26" i="10"/>
  <c r="H38" i="10"/>
  <c r="H71" i="10" s="1"/>
  <c r="J37" i="15" l="1"/>
  <c r="D69" i="15" s="1"/>
  <c r="J36" i="15"/>
  <c r="AA4" i="23"/>
  <c r="AB2" i="23"/>
  <c r="AA37" i="22"/>
  <c r="AB36" i="22"/>
  <c r="D82" i="22"/>
  <c r="B87" i="22"/>
  <c r="C86" i="22"/>
  <c r="AC4" i="22"/>
  <c r="AC35" i="22" s="1"/>
  <c r="AD2" i="22"/>
  <c r="L85" i="22"/>
  <c r="M85" i="22"/>
  <c r="K4" i="15"/>
  <c r="K35" i="15" s="1"/>
  <c r="L2" i="15"/>
  <c r="G52" i="10"/>
  <c r="H52" i="10"/>
  <c r="H40" i="10"/>
  <c r="H77" i="10" s="1"/>
  <c r="H78" i="10" s="1"/>
  <c r="K36" i="15" l="1"/>
  <c r="K37" i="15"/>
  <c r="AB4" i="23"/>
  <c r="AC2" i="23"/>
  <c r="AC36" i="22"/>
  <c r="AB37" i="22"/>
  <c r="D83" i="22"/>
  <c r="AE2" i="22"/>
  <c r="AD4" i="22"/>
  <c r="AD35" i="22" s="1"/>
  <c r="B88" i="22"/>
  <c r="C87" i="22"/>
  <c r="L86" i="22"/>
  <c r="M86" i="22"/>
  <c r="D70" i="15"/>
  <c r="L4" i="15"/>
  <c r="L35" i="15" s="1"/>
  <c r="M2" i="15"/>
  <c r="H79" i="10"/>
  <c r="I79" i="10"/>
  <c r="G54" i="10"/>
  <c r="H54" i="10"/>
  <c r="H58" i="10" s="1"/>
  <c r="H59" i="10"/>
  <c r="H73" i="10"/>
  <c r="G58" i="10"/>
  <c r="G59" i="10"/>
  <c r="L36" i="15" l="1"/>
  <c r="L37" i="15"/>
  <c r="D71" i="15" s="1"/>
  <c r="AC4" i="23"/>
  <c r="AD2" i="23"/>
  <c r="AD36" i="22"/>
  <c r="AC37" i="22"/>
  <c r="D84" i="22"/>
  <c r="B89" i="22"/>
  <c r="C88" i="22"/>
  <c r="AF2" i="22"/>
  <c r="AE4" i="22"/>
  <c r="AE35" i="22" s="1"/>
  <c r="L87" i="22"/>
  <c r="J132" i="22" s="1"/>
  <c r="M87" i="22"/>
  <c r="M4" i="15"/>
  <c r="M35" i="15" s="1"/>
  <c r="N2" i="15"/>
  <c r="H60" i="10"/>
  <c r="G60" i="10"/>
  <c r="J59" i="10"/>
  <c r="J36" i="10"/>
  <c r="J50" i="10" s="1"/>
  <c r="M36" i="15" l="1"/>
  <c r="M37" i="15" s="1"/>
  <c r="D72" i="15" s="1"/>
  <c r="AE2" i="23"/>
  <c r="AD4" i="23"/>
  <c r="AE36" i="22"/>
  <c r="AD37" i="22"/>
  <c r="D85" i="22"/>
  <c r="AG2" i="22"/>
  <c r="AF4" i="22"/>
  <c r="AF35" i="22" s="1"/>
  <c r="B90" i="22"/>
  <c r="C89" i="22"/>
  <c r="L88" i="22"/>
  <c r="J131" i="22" s="1"/>
  <c r="M88" i="22"/>
  <c r="N4" i="15"/>
  <c r="O2" i="15"/>
  <c r="I50" i="10"/>
  <c r="J60" i="10"/>
  <c r="J39" i="10"/>
  <c r="J77" i="10" s="1"/>
  <c r="J78" i="10" s="1"/>
  <c r="J69" i="10"/>
  <c r="AE4" i="23" l="1"/>
  <c r="AF2" i="23"/>
  <c r="AE37" i="22"/>
  <c r="AF36" i="22"/>
  <c r="D86" i="22"/>
  <c r="B91" i="22"/>
  <c r="C90" i="22"/>
  <c r="AG4" i="22"/>
  <c r="AG35" i="22" s="1"/>
  <c r="AH2" i="22"/>
  <c r="L89" i="22"/>
  <c r="J130" i="22" s="1"/>
  <c r="M89" i="22"/>
  <c r="N35" i="15"/>
  <c r="O4" i="15"/>
  <c r="O35" i="15" s="1"/>
  <c r="P2" i="15"/>
  <c r="J79" i="10"/>
  <c r="K79" i="10"/>
  <c r="I53" i="10"/>
  <c r="I58" i="10" s="1"/>
  <c r="J53" i="10"/>
  <c r="J58" i="10" s="1"/>
  <c r="I59" i="10"/>
  <c r="J72" i="10"/>
  <c r="N36" i="15" l="1"/>
  <c r="O36" i="15" s="1"/>
  <c r="AG2" i="23"/>
  <c r="AF4" i="23"/>
  <c r="AG36" i="22"/>
  <c r="AF37" i="22"/>
  <c r="D87" i="22"/>
  <c r="AI2" i="22"/>
  <c r="AI5" i="22" s="1"/>
  <c r="AH16" i="22" s="1"/>
  <c r="AH4" i="22"/>
  <c r="AH35" i="22" s="1"/>
  <c r="B92" i="22"/>
  <c r="C91" i="22"/>
  <c r="L90" i="22"/>
  <c r="J129" i="22" s="1"/>
  <c r="M90" i="22"/>
  <c r="P4" i="15"/>
  <c r="P35" i="15" s="1"/>
  <c r="Q2" i="15"/>
  <c r="I60" i="10"/>
  <c r="U53" i="10" s="1"/>
  <c r="P36" i="15" l="1"/>
  <c r="N37" i="15"/>
  <c r="D73" i="15" s="1"/>
  <c r="AG4" i="23"/>
  <c r="AH2" i="23"/>
  <c r="AH36" i="22"/>
  <c r="AG37" i="22"/>
  <c r="D88" i="22"/>
  <c r="M91" i="22"/>
  <c r="L91" i="22"/>
  <c r="J128" i="22" s="1"/>
  <c r="B93" i="22"/>
  <c r="B94" i="22" s="1"/>
  <c r="C92" i="22"/>
  <c r="AJ2" i="22"/>
  <c r="AJ4" i="22" s="1"/>
  <c r="AI4" i="22"/>
  <c r="AI35" i="22" s="1"/>
  <c r="U55" i="10"/>
  <c r="O61" i="10" s="1"/>
  <c r="N61" i="10" s="1"/>
  <c r="M61" i="10" s="1"/>
  <c r="L61" i="10" s="1"/>
  <c r="K61" i="10" s="1"/>
  <c r="K81" i="10" s="1"/>
  <c r="E87" i="10" s="1"/>
  <c r="F87" i="10" s="1"/>
  <c r="Q4" i="15"/>
  <c r="Q35" i="15" s="1"/>
  <c r="R2" i="15"/>
  <c r="O37" i="15" l="1"/>
  <c r="D74" i="15" s="1"/>
  <c r="Q36" i="15"/>
  <c r="J61" i="10"/>
  <c r="O61" i="25"/>
  <c r="AI2" i="23"/>
  <c r="AI5" i="23" s="1"/>
  <c r="AH4" i="23"/>
  <c r="AI36" i="22"/>
  <c r="AH37" i="22"/>
  <c r="D89" i="22"/>
  <c r="C93" i="22"/>
  <c r="M92" i="22"/>
  <c r="L92" i="22"/>
  <c r="J127" i="22" s="1"/>
  <c r="AJ5" i="22"/>
  <c r="AI16" i="22" s="1"/>
  <c r="R4" i="15"/>
  <c r="S2" i="15"/>
  <c r="I61" i="10" l="1"/>
  <c r="J81" i="10"/>
  <c r="E88" i="10" s="1"/>
  <c r="F88" i="10" s="1"/>
  <c r="P37" i="15"/>
  <c r="Q37" i="15" s="1"/>
  <c r="D76" i="15" s="1"/>
  <c r="AJ2" i="23"/>
  <c r="AJ4" i="23" s="1"/>
  <c r="AI4" i="23"/>
  <c r="AI37" i="22"/>
  <c r="D90" i="22"/>
  <c r="C94" i="22"/>
  <c r="M93" i="22"/>
  <c r="L93" i="22"/>
  <c r="J126" i="22" s="1"/>
  <c r="R35" i="15"/>
  <c r="S4" i="15"/>
  <c r="T2" i="15"/>
  <c r="H61" i="10" l="1"/>
  <c r="I81" i="10"/>
  <c r="E89" i="10" s="1"/>
  <c r="F89" i="10" s="1"/>
  <c r="D75" i="15"/>
  <c r="AJ5" i="23"/>
  <c r="R36" i="15"/>
  <c r="R37" i="15" s="1"/>
  <c r="D77" i="15" s="1"/>
  <c r="D91" i="22"/>
  <c r="M94" i="22"/>
  <c r="L94" i="22"/>
  <c r="J125" i="22" s="1"/>
  <c r="S35" i="15"/>
  <c r="T4" i="15"/>
  <c r="U2" i="15"/>
  <c r="G61" i="10" l="1"/>
  <c r="H81" i="10"/>
  <c r="E90" i="10" s="1"/>
  <c r="F90" i="10" s="1"/>
  <c r="I132" i="22"/>
  <c r="I129" i="22"/>
  <c r="I131" i="22"/>
  <c r="I130" i="22"/>
  <c r="I128" i="22"/>
  <c r="I127" i="22"/>
  <c r="I126" i="22"/>
  <c r="I125" i="22"/>
  <c r="S36" i="15"/>
  <c r="S37" i="15" s="1"/>
  <c r="D78" i="15" s="1"/>
  <c r="G81" i="22"/>
  <c r="G69" i="22"/>
  <c r="D92" i="22"/>
  <c r="T35" i="15"/>
  <c r="U4" i="15"/>
  <c r="V2" i="15"/>
  <c r="F61" i="10" l="1"/>
  <c r="G81" i="10"/>
  <c r="E91" i="10" s="1"/>
  <c r="F91" i="10" s="1"/>
  <c r="T36" i="15"/>
  <c r="T37" i="15" s="1"/>
  <c r="D79" i="15" s="1"/>
  <c r="D93" i="22"/>
  <c r="U35" i="15"/>
  <c r="V4" i="15"/>
  <c r="W2" i="15"/>
  <c r="E61" i="10" l="1"/>
  <c r="F81" i="10"/>
  <c r="U36" i="15"/>
  <c r="U37" i="15" s="1"/>
  <c r="D80" i="15" s="1"/>
  <c r="D61" i="22"/>
  <c r="D94" i="22"/>
  <c r="L134" i="22"/>
  <c r="V35" i="15"/>
  <c r="W4" i="15"/>
  <c r="X2" i="15"/>
  <c r="D61" i="10" l="1"/>
  <c r="E81" i="10"/>
  <c r="V36" i="15"/>
  <c r="V37" i="15" s="1"/>
  <c r="D81" i="15" s="1"/>
  <c r="G70" i="22"/>
  <c r="G82" i="22"/>
  <c r="W35" i="15"/>
  <c r="X4" i="15"/>
  <c r="Y2" i="15"/>
  <c r="C61" i="10" l="1"/>
  <c r="C81" i="10" s="1"/>
  <c r="D81" i="10"/>
  <c r="W36" i="15"/>
  <c r="W37" i="15" s="1"/>
  <c r="D82" i="15" s="1"/>
  <c r="X35" i="15"/>
  <c r="Y4" i="15"/>
  <c r="Z2" i="15"/>
  <c r="X36" i="15" l="1"/>
  <c r="X37" i="15" s="1"/>
  <c r="D83" i="15" s="1"/>
  <c r="Y35" i="15"/>
  <c r="Z4" i="15"/>
  <c r="AA2" i="15"/>
  <c r="Y36" i="15" l="1"/>
  <c r="Y37" i="15" s="1"/>
  <c r="D84" i="15" s="1"/>
  <c r="Z35" i="15"/>
  <c r="AA4" i="15"/>
  <c r="AB2" i="15"/>
  <c r="Z36" i="15" l="1"/>
  <c r="Z37" i="15" s="1"/>
  <c r="D85" i="15" s="1"/>
  <c r="AA35" i="15"/>
  <c r="AB4" i="15"/>
  <c r="AC2" i="15"/>
  <c r="AA36" i="15" l="1"/>
  <c r="AA37" i="15" s="1"/>
  <c r="D86" i="15" s="1"/>
  <c r="AB35" i="15"/>
  <c r="AC4" i="15"/>
  <c r="AD2" i="15"/>
  <c r="AB36" i="15" l="1"/>
  <c r="AB37" i="15" s="1"/>
  <c r="D87" i="15" s="1"/>
  <c r="AC35" i="15"/>
  <c r="AD4" i="15"/>
  <c r="AE2" i="15"/>
  <c r="AC36" i="15" l="1"/>
  <c r="AC37" i="15" s="1"/>
  <c r="D88" i="15" s="1"/>
  <c r="AD35" i="15"/>
  <c r="AE4" i="15"/>
  <c r="AF2" i="15"/>
  <c r="AD36" i="15" l="1"/>
  <c r="AD37" i="15" s="1"/>
  <c r="D89" i="15" s="1"/>
  <c r="AE35" i="15"/>
  <c r="AF4" i="15"/>
  <c r="AG2" i="15"/>
  <c r="AE36" i="15" l="1"/>
  <c r="AE37" i="15" s="1"/>
  <c r="D90" i="15" s="1"/>
  <c r="AF35" i="15"/>
  <c r="AG4" i="15"/>
  <c r="AH2" i="15"/>
  <c r="AF36" i="15" l="1"/>
  <c r="AF37" i="15" s="1"/>
  <c r="D91" i="15" s="1"/>
  <c r="AG35" i="15"/>
  <c r="AI2" i="15"/>
  <c r="AI5" i="15" s="1"/>
  <c r="AH16" i="15" s="1"/>
  <c r="AH4" i="15"/>
  <c r="AH35" i="15" s="1"/>
  <c r="AG36" i="15" l="1"/>
  <c r="AG37" i="15" s="1"/>
  <c r="D92" i="15" s="1"/>
  <c r="AJ2" i="15"/>
  <c r="AJ4" i="15" s="1"/>
  <c r="AI4" i="15"/>
  <c r="AI35" i="15" s="1"/>
  <c r="C132" i="15"/>
  <c r="AH36" i="15" l="1"/>
  <c r="AH37" i="15" s="1"/>
  <c r="I132" i="15"/>
  <c r="K132" i="15" s="1"/>
  <c r="L132" i="15" s="1"/>
  <c r="L134" i="15" s="1"/>
  <c r="AJ5" i="15"/>
  <c r="AI16" i="15" s="1"/>
  <c r="AI36" i="15" l="1"/>
  <c r="AI37" i="15" s="1"/>
  <c r="D93" i="15"/>
  <c r="D94" i="15" l="1"/>
  <c r="G82" i="15" s="1"/>
  <c r="D61" i="15"/>
  <c r="G70" i="15" l="1"/>
</calcChain>
</file>

<file path=xl/comments1.xml><?xml version="1.0" encoding="utf-8"?>
<comments xmlns="http://schemas.openxmlformats.org/spreadsheetml/2006/main">
  <authors>
    <author>Cheng-Wen Tsai</author>
  </authors>
  <commentList>
    <comment ref="AI31" authorId="0">
      <text>
        <r>
          <rPr>
            <b/>
            <sz val="18"/>
            <color indexed="81"/>
            <rFont val="EYInterstate"/>
          </rPr>
          <t>Zero does not necessarily mean development ceases.</t>
        </r>
      </text>
    </comment>
    <comment ref="E102" authorId="0">
      <text>
        <r>
          <rPr>
            <b/>
            <sz val="18"/>
            <color indexed="81"/>
            <rFont val="EYInterstate"/>
          </rPr>
          <t>Includes incremental paid loss through start age.</t>
        </r>
      </text>
    </comment>
  </commentList>
</comments>
</file>

<file path=xl/comments2.xml><?xml version="1.0" encoding="utf-8"?>
<comments xmlns="http://schemas.openxmlformats.org/spreadsheetml/2006/main">
  <authors>
    <author>Cheng-Wen Tsai</author>
  </authors>
  <commentList>
    <comment ref="AI31" authorId="0">
      <text>
        <r>
          <rPr>
            <b/>
            <sz val="18"/>
            <color indexed="81"/>
            <rFont val="EYInterstate"/>
          </rPr>
          <t>Zero does not necessarily mean development ceases.</t>
        </r>
      </text>
    </comment>
    <comment ref="E102" authorId="0">
      <text>
        <r>
          <rPr>
            <b/>
            <sz val="18"/>
            <color indexed="81"/>
            <rFont val="EYInterstate"/>
          </rPr>
          <t>Includes incremental paid loss through start age.</t>
        </r>
      </text>
    </comment>
  </commentList>
</comments>
</file>

<file path=xl/comments3.xml><?xml version="1.0" encoding="utf-8"?>
<comments xmlns="http://schemas.openxmlformats.org/spreadsheetml/2006/main">
  <authors>
    <author>Cheng-Wen Tsai</author>
  </authors>
  <commentList>
    <comment ref="G23" authorId="0">
      <text>
        <r>
          <rPr>
            <b/>
            <sz val="12"/>
            <color indexed="81"/>
            <rFont val="Tahoma"/>
            <family val="2"/>
          </rPr>
          <t>Step 1:</t>
        </r>
        <r>
          <rPr>
            <sz val="12"/>
            <color indexed="81"/>
            <rFont val="Tahoma"/>
            <family val="2"/>
          </rPr>
          <t xml:space="preserve">
Select Avg 3 Yrs</t>
        </r>
      </text>
    </comment>
    <comment ref="F41" authorId="0">
      <text>
        <r>
          <rPr>
            <b/>
            <sz val="12"/>
            <color indexed="81"/>
            <rFont val="Tahoma"/>
            <family val="2"/>
          </rPr>
          <t>Step 2:</t>
        </r>
        <r>
          <rPr>
            <sz val="12"/>
            <color indexed="81"/>
            <rFont val="Tahoma"/>
            <family val="2"/>
          </rPr>
          <t xml:space="preserve">
Select central estimate based on the estimates from table above.</t>
        </r>
      </text>
    </comment>
  </commentList>
</comments>
</file>

<file path=xl/comments4.xml><?xml version="1.0" encoding="utf-8"?>
<comments xmlns="http://schemas.openxmlformats.org/spreadsheetml/2006/main">
  <authors>
    <author>Cheng-Wen Tsai</author>
  </authors>
  <commentList>
    <comment ref="G23" authorId="0">
      <text>
        <r>
          <rPr>
            <b/>
            <sz val="12"/>
            <color indexed="81"/>
            <rFont val="Tahoma"/>
            <family val="2"/>
          </rPr>
          <t>Step 1:</t>
        </r>
        <r>
          <rPr>
            <sz val="12"/>
            <color indexed="81"/>
            <rFont val="Tahoma"/>
            <family val="2"/>
          </rPr>
          <t xml:space="preserve">
Select Avg 3 Yrs</t>
        </r>
      </text>
    </comment>
    <comment ref="F41" authorId="0">
      <text>
        <r>
          <rPr>
            <b/>
            <sz val="12"/>
            <color indexed="81"/>
            <rFont val="Tahoma"/>
            <family val="2"/>
          </rPr>
          <t>Step 2:</t>
        </r>
        <r>
          <rPr>
            <sz val="12"/>
            <color indexed="81"/>
            <rFont val="Tahoma"/>
            <family val="2"/>
          </rPr>
          <t xml:space="preserve">
Select central estimate based on the estimates from table above.</t>
        </r>
      </text>
    </comment>
  </commentList>
</comments>
</file>

<file path=xl/sharedStrings.xml><?xml version="1.0" encoding="utf-8"?>
<sst xmlns="http://schemas.openxmlformats.org/spreadsheetml/2006/main" count="824" uniqueCount="225">
  <si>
    <t>Calendar</t>
  </si>
  <si>
    <t>Company Case Reserves</t>
  </si>
  <si>
    <t>Truncated</t>
  </si>
  <si>
    <t>Year</t>
  </si>
  <si>
    <t>Beginning</t>
  </si>
  <si>
    <t>Ending</t>
  </si>
  <si>
    <t>Change Case (-)</t>
  </si>
  <si>
    <t>Cumulative Paid Loss</t>
  </si>
  <si>
    <t>Incremental Paid Loss</t>
  </si>
  <si>
    <t>ΔP/ΔC</t>
  </si>
  <si>
    <t>Avg 3 Yrs =</t>
  </si>
  <si>
    <t>Avg 5 Yrs =</t>
  </si>
  <si>
    <t>Avg 7 Yrs =</t>
  </si>
  <si>
    <t>Avg All Yrs =</t>
  </si>
  <si>
    <t>Case</t>
  </si>
  <si>
    <t>Selected</t>
  </si>
  <si>
    <t>Paid</t>
  </si>
  <si>
    <t>Unpaid Reserves as of</t>
  </si>
  <si>
    <t>Outstanding</t>
  </si>
  <si>
    <t>ΔP/ΔC Factor</t>
  </si>
  <si>
    <t>Since Date (2009)</t>
  </si>
  <si>
    <t>Total</t>
  </si>
  <si>
    <t>Selected ΔP/ΔC Ratio:</t>
  </si>
  <si>
    <t>Selected Reserve:</t>
  </si>
  <si>
    <t>Hint: Use (3) of 2009</t>
  </si>
  <si>
    <t>Hint: Adjust case outstanding first</t>
  </si>
  <si>
    <t>(3) = ?</t>
  </si>
  <si>
    <t>(5) = ?</t>
  </si>
  <si>
    <t>(6) = ?</t>
  </si>
  <si>
    <t>(4) = ?</t>
  </si>
  <si>
    <t>Incremental Paid Losses</t>
  </si>
  <si>
    <t>Underwriting</t>
  </si>
  <si>
    <t>Age in Years</t>
  </si>
  <si>
    <t/>
  </si>
  <si>
    <t>U/W Year</t>
  </si>
  <si>
    <t>Selected IBNR ratio to OLR</t>
  </si>
  <si>
    <t>Implied ATU</t>
  </si>
  <si>
    <t>Tail</t>
  </si>
  <si>
    <t>Case Reserve Run-off triangle from the start age 17</t>
  </si>
  <si>
    <t>Step 1:</t>
  </si>
  <si>
    <t>Step 2:</t>
  </si>
  <si>
    <t>Case run-off ATA factor</t>
  </si>
  <si>
    <t>Step 3:</t>
  </si>
  <si>
    <t>Case to case-reserve-run-off ratio</t>
  </si>
  <si>
    <t>Weighted Average (5 Years)</t>
  </si>
  <si>
    <t>Avg. x hi/lo</t>
  </si>
  <si>
    <t>Case Reserve Triangle</t>
  </si>
  <si>
    <t>Age in years as of December 31 2010</t>
  </si>
  <si>
    <t>Case ($)</t>
  </si>
  <si>
    <t>IBNR-to-Case Ratio</t>
  </si>
  <si>
    <t>Weighted Average:</t>
  </si>
  <si>
    <t>TABLE B1</t>
  </si>
  <si>
    <t>TABLE B2</t>
  </si>
  <si>
    <t>TABLE B3</t>
  </si>
  <si>
    <t>TABLE B4</t>
  </si>
  <si>
    <t>TABLE B5</t>
  </si>
  <si>
    <t>TABLE B6</t>
  </si>
  <si>
    <t>Estimated IBNR($)</t>
  </si>
  <si>
    <t>Step 4:</t>
  </si>
  <si>
    <t>0 - 12</t>
  </si>
  <si>
    <t>12 - 24</t>
  </si>
  <si>
    <t>24 - 36</t>
  </si>
  <si>
    <t>36 - 48</t>
  </si>
  <si>
    <t>48 - 60</t>
  </si>
  <si>
    <t>60 - 72</t>
  </si>
  <si>
    <t>72 - 84</t>
  </si>
  <si>
    <t>84 - 96</t>
  </si>
  <si>
    <t>96 - 108</t>
  </si>
  <si>
    <t>108 - 120</t>
  </si>
  <si>
    <t>120 - 132</t>
  </si>
  <si>
    <t>132 - 144</t>
  </si>
  <si>
    <t>144 - 156</t>
  </si>
  <si>
    <t>156 - 168</t>
  </si>
  <si>
    <t>168 - 180</t>
  </si>
  <si>
    <t>180 - 192</t>
  </si>
  <si>
    <t>192 - 204</t>
  </si>
  <si>
    <t>204 - 216</t>
  </si>
  <si>
    <t>216 - 228</t>
  </si>
  <si>
    <t>228 - 240</t>
  </si>
  <si>
    <t>240 - 252</t>
  </si>
  <si>
    <t>252 - 264</t>
  </si>
  <si>
    <t>264 - 276</t>
  </si>
  <si>
    <t>276 - 288</t>
  </si>
  <si>
    <t>288 - 300</t>
  </si>
  <si>
    <t>300 - 312</t>
  </si>
  <si>
    <t>312 - 324</t>
  </si>
  <si>
    <t>324 - 336</t>
  </si>
  <si>
    <t>336 - 348</t>
  </si>
  <si>
    <t>348 - 360</t>
  </si>
  <si>
    <t>360 - 372</t>
  </si>
  <si>
    <t>372 - 384</t>
  </si>
  <si>
    <t>Straight Average:</t>
  </si>
  <si>
    <t>Straight Average Ex H/L:</t>
  </si>
  <si>
    <t>Incremental Pattern</t>
  </si>
  <si>
    <t>Accumulated Values</t>
  </si>
  <si>
    <t>Calculation of change in paid loss</t>
  </si>
  <si>
    <t>Start Age</t>
  </si>
  <si>
    <t>End Age</t>
  </si>
  <si>
    <t>Total Paid</t>
  </si>
  <si>
    <t>Total Change</t>
  </si>
  <si>
    <t>At Start Age</t>
  </si>
  <si>
    <t>At End Age</t>
  </si>
  <si>
    <t>From Start Age to End Age</t>
  </si>
  <si>
    <t>Curve fitting</t>
  </si>
  <si>
    <t>Actual</t>
  </si>
  <si>
    <t>Weibull</t>
  </si>
  <si>
    <t>Gompertz</t>
  </si>
  <si>
    <t>Age (in Months)</t>
  </si>
  <si>
    <t>X = Age (in Years)</t>
  </si>
  <si>
    <t>Y = Accumulated Incremental Selections</t>
  </si>
  <si>
    <t>Y^ = a - b*exp(-c*X^d)</t>
  </si>
  <si>
    <t>From Curve Expert v 1.3</t>
  </si>
  <si>
    <t>Weibull Model: y=a-b*exp(-c*x^d)</t>
  </si>
  <si>
    <t>Coefficient Data:</t>
  </si>
  <si>
    <t>a =</t>
  </si>
  <si>
    <t>b =</t>
  </si>
  <si>
    <t>c =</t>
  </si>
  <si>
    <t>d =</t>
  </si>
  <si>
    <t>Standard Error:</t>
  </si>
  <si>
    <t>Correlation Coefficient:</t>
  </si>
  <si>
    <t>Ratio to Total Period Change</t>
  </si>
  <si>
    <t>Estimated Total Reserves</t>
  </si>
  <si>
    <t>Accumulated Incremental
(at start)</t>
  </si>
  <si>
    <t>Accumulated Incremental
(at end)</t>
  </si>
  <si>
    <t>Ultimate:</t>
  </si>
  <si>
    <t>Incremental ratios calculation and reserve projection</t>
  </si>
  <si>
    <t>KEY</t>
  </si>
  <si>
    <t>Inputs</t>
  </si>
  <si>
    <t>Calculation</t>
  </si>
  <si>
    <t>Notes</t>
  </si>
  <si>
    <t>Output</t>
  </si>
  <si>
    <t>Linked Cell, or Looked-up Value (No further calculations required here)</t>
  </si>
  <si>
    <t>TABLE A1</t>
  </si>
  <si>
    <t>TABLE A2</t>
  </si>
  <si>
    <t>TABLE A3</t>
  </si>
  <si>
    <t>TABLE A4</t>
  </si>
  <si>
    <t>TABLE C1</t>
  </si>
  <si>
    <t>TABLE C2</t>
  </si>
  <si>
    <t>Calculate, and then select incremental development factors</t>
  </si>
  <si>
    <t>Incremental Paid Loss Triangle</t>
  </si>
  <si>
    <t>Start From Age:</t>
  </si>
  <si>
    <t>Evaluation Date:</t>
  </si>
  <si>
    <t>Standard Error Formula:</t>
  </si>
  <si>
    <t>" c "</t>
  </si>
  <si>
    <t>Estimates</t>
  </si>
  <si>
    <t>" d "</t>
  </si>
  <si>
    <t>" b "</t>
  </si>
  <si>
    <t>" e "</t>
  </si>
  <si>
    <t>Y^ = a*exp(b*exp(c*x))+d</t>
  </si>
  <si>
    <t>R</t>
  </si>
  <si>
    <t>LAB Fit</t>
  </si>
  <si>
    <t>Method:</t>
  </si>
  <si>
    <t>Custom</t>
  </si>
  <si>
    <t>" A "</t>
  </si>
  <si>
    <t>" B "</t>
  </si>
  <si>
    <t>" C "</t>
  </si>
  <si>
    <t>" D "</t>
  </si>
  <si>
    <t>Gompertz Relation: y=a*exp(b*exp(c*x))+d</t>
  </si>
  <si>
    <t>Tail Estimate</t>
  </si>
  <si>
    <t>=1/(b) - 1/(a)</t>
  </si>
  <si>
    <t>Remaining</t>
  </si>
  <si>
    <t>Ratio</t>
  </si>
  <si>
    <t>GL</t>
  </si>
  <si>
    <t>LDF</t>
  </si>
  <si>
    <t>$ Wtd</t>
  </si>
  <si>
    <t>Pct Ult</t>
  </si>
  <si>
    <t>Unity</t>
  </si>
  <si>
    <t>Analysis of Assumed Loss and Loss Adjustment Expense Liabilities</t>
  </si>
  <si>
    <t>Exhibit</t>
  </si>
  <si>
    <t>Combined Treaty and Facultative</t>
  </si>
  <si>
    <t xml:space="preserve">          Age-to-Ultimate Factors</t>
  </si>
  <si>
    <t>Age-to-Ultimate Factors</t>
  </si>
  <si>
    <t>Incr'tl</t>
  </si>
  <si>
    <t>Interpolated</t>
  </si>
  <si>
    <t>AY</t>
  </si>
  <si>
    <t>6 Mth Adjustment*</t>
  </si>
  <si>
    <t>Interpolate</t>
  </si>
  <si>
    <t>Age</t>
  </si>
  <si>
    <t>AY Age</t>
  </si>
  <si>
    <t>UW</t>
  </si>
  <si>
    <t>Age at</t>
  </si>
  <si>
    <t>Equivalent</t>
  </si>
  <si>
    <t>Estimated</t>
  </si>
  <si>
    <t>Interval</t>
  </si>
  <si>
    <t>Accd Year</t>
  </si>
  <si>
    <t>(mths)</t>
  </si>
  <si>
    <t>Dec 1997</t>
  </si>
  <si>
    <t>Discount Factors - Six-Month Lag</t>
  </si>
  <si>
    <t xml:space="preserve">Time </t>
  </si>
  <si>
    <t>UWY</t>
  </si>
  <si>
    <t>Discount</t>
  </si>
  <si>
    <t>Percent</t>
  </si>
  <si>
    <t>Zero</t>
  </si>
  <si>
    <t>Applying</t>
  </si>
  <si>
    <t>Factor</t>
  </si>
  <si>
    <t>An underwriting year is effectively 6 months less mature than an accident year of the same age.</t>
  </si>
  <si>
    <t>( c )</t>
  </si>
  <si>
    <t>( b )</t>
  </si>
  <si>
    <t>( a )</t>
  </si>
  <si>
    <t>( d )</t>
  </si>
  <si>
    <t>Interim Incurred</t>
  </si>
  <si>
    <t xml:space="preserve"> = 1-1/(b)</t>
  </si>
  <si>
    <t>( e )</t>
  </si>
  <si>
    <t xml:space="preserve"> = (d) / (c) </t>
  </si>
  <si>
    <t>(3) = (1) - (2)</t>
  </si>
  <si>
    <t>(5) = ∆(4)</t>
  </si>
  <si>
    <t>(6) = (5)/(3)</t>
  </si>
  <si>
    <t>(4) = 2009.(3) - (3)</t>
  </si>
  <si>
    <t>(5) = (1)*(2) - (4)</t>
  </si>
  <si>
    <t>Calculation that has been done for you already to save time</t>
  </si>
  <si>
    <t>To Do:</t>
  </si>
  <si>
    <t>Wayne Enterprises Insurance Company Ltd.</t>
  </si>
  <si>
    <t>Oscorp Re</t>
  </si>
  <si>
    <t>General Liability Excluding Asbestos and Environmental Incurred Loss Development</t>
  </si>
  <si>
    <t>S.H.I.E.L.D. Re</t>
  </si>
  <si>
    <t>Formula Utilities</t>
  </si>
  <si>
    <t xml:space="preserve">** Six month adjustment is to account for the difference in average accident date between Accident Year data (RAA) and Underwriting Year data. </t>
  </si>
  <si>
    <t>Evaluated as of September 30, 2010</t>
  </si>
  <si>
    <t>b</t>
  </si>
  <si>
    <t>DBR ATU at</t>
  </si>
  <si>
    <t>Tail = [(1+ ((IL to 348)-1)*(1+Ratio(e))] / IL to 348</t>
  </si>
  <si>
    <t>= 12 * 29</t>
  </si>
  <si>
    <t>Age (Months)</t>
  </si>
  <si>
    <t>=Yrs * 12</t>
  </si>
  <si>
    <t>= 12 *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</si>
</sst>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0"/>
    <numFmt numFmtId="167" formatCode="#,##0.000_);\(#,##0.000\)"/>
    <numFmt numFmtId="168" formatCode="_(* #,##0.000_);_(* \(#,##0.000\);_(* &quot;-&quot;_);_(@_)"/>
    <numFmt numFmtId="169" formatCode="0.000000"/>
    <numFmt numFmtId="170" formatCode="0.0000"/>
    <numFmt numFmtId="171" formatCode="mmm\-yyyy"/>
    <numFmt numFmtId="172" formatCode="_(* #,##0.000_);_(* \(#,##0.000\);_(* &quot;-&quot;??_);_(@_)"/>
    <numFmt numFmtId="173" formatCode="0.000_);\(0.000\)"/>
  </numFmts>
  <fonts count="49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1"/>
      <name val="EYInterstate Light"/>
    </font>
    <font>
      <b/>
      <sz val="10"/>
      <color theme="1"/>
      <name val="EYInterstate Light"/>
    </font>
    <font>
      <sz val="11"/>
      <name val="EYInterstate"/>
    </font>
    <font>
      <sz val="1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rgb="FFFF0000"/>
      <name val="Arial"/>
      <family val="2"/>
    </font>
    <font>
      <sz val="10"/>
      <name val="EYInterstate Light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name val="EYInterstate Light"/>
    </font>
    <font>
      <b/>
      <i/>
      <sz val="10"/>
      <color theme="1"/>
      <name val="Arial"/>
      <family val="2"/>
    </font>
    <font>
      <b/>
      <sz val="10"/>
      <color rgb="FF3F3F3F"/>
      <name val="Arial"/>
      <family val="2"/>
    </font>
    <font>
      <sz val="10"/>
      <color rgb="FFFA7D00"/>
      <name val="Arial"/>
      <family val="2"/>
    </font>
    <font>
      <sz val="10"/>
      <color theme="1"/>
      <name val="EYInterstate"/>
    </font>
    <font>
      <sz val="10"/>
      <name val="EYInterstate"/>
    </font>
    <font>
      <sz val="10"/>
      <color indexed="9"/>
      <name val="EYInterstate"/>
    </font>
    <font>
      <i/>
      <sz val="10"/>
      <name val="EYInterstate Light"/>
    </font>
    <font>
      <sz val="10"/>
      <color rgb="FFFF0000"/>
      <name val="EYInterstate"/>
    </font>
    <font>
      <b/>
      <sz val="11"/>
      <name val="EYInterstate"/>
    </font>
    <font>
      <i/>
      <sz val="11"/>
      <name val="EYInterstate"/>
    </font>
    <font>
      <b/>
      <sz val="11"/>
      <color indexed="10"/>
      <name val="EYInterstate"/>
    </font>
    <font>
      <sz val="10"/>
      <color indexed="8"/>
      <name val="EYInterstate Light"/>
    </font>
    <font>
      <b/>
      <i/>
      <sz val="10"/>
      <name val="EYInterstate"/>
    </font>
    <font>
      <b/>
      <i/>
      <sz val="11"/>
      <name val="EYInterstate"/>
    </font>
    <font>
      <b/>
      <i/>
      <sz val="10"/>
      <color theme="1"/>
      <name val="EYInterstate Light"/>
    </font>
    <font>
      <sz val="10"/>
      <color theme="0"/>
      <name val="EYInterstate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2"/>
      <color rgb="FF3F3F76"/>
      <name val="Arial"/>
      <family val="2"/>
    </font>
    <font>
      <b/>
      <sz val="18"/>
      <color indexed="81"/>
      <name val="EYInterstate"/>
    </font>
    <font>
      <u/>
      <sz val="10"/>
      <name val="EYInterstate Light"/>
    </font>
    <font>
      <sz val="10"/>
      <color indexed="30"/>
      <name val="EYInterstate Light"/>
    </font>
    <font>
      <sz val="10"/>
      <name val="System"/>
      <family val="2"/>
    </font>
    <font>
      <sz val="10"/>
      <color rgb="FF9C0006"/>
      <name val="eyinterstate"/>
      <family val="2"/>
    </font>
    <font>
      <i/>
      <sz val="10"/>
      <name val="System"/>
      <family val="2"/>
    </font>
    <font>
      <sz val="12"/>
      <name val="Arial"/>
      <family val="2"/>
    </font>
    <font>
      <sz val="10"/>
      <color rgb="FFFFFF00"/>
      <name val="Arial"/>
      <family val="2"/>
    </font>
    <font>
      <sz val="10"/>
      <color rgb="FFFFFF00"/>
      <name val="EYInterstate Light"/>
    </font>
    <font>
      <b/>
      <sz val="10"/>
      <color rgb="FFFFFF00"/>
      <name val="EYInterstate Light"/>
    </font>
    <font>
      <b/>
      <sz val="10"/>
      <color rgb="FFFFFF00"/>
      <name val="Arial"/>
      <family val="2"/>
    </font>
    <font>
      <b/>
      <u/>
      <sz val="14"/>
      <color rgb="FFFFFF00"/>
      <name val="EYInterstate Light"/>
    </font>
    <font>
      <sz val="10"/>
      <color theme="1" tint="0.499984740745262"/>
      <name val="EYInterstate Light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rgb="FFFF8001"/>
      </top>
      <bottom style="double">
        <color rgb="FFFF80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double">
        <color rgb="FFFF800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1" fillId="4" borderId="5" applyNumberFormat="0" applyFont="0" applyAlignment="0" applyProtection="0"/>
    <xf numFmtId="0" fontId="18" fillId="3" borderId="6" applyNumberFormat="0" applyAlignment="0" applyProtection="0"/>
    <xf numFmtId="0" fontId="19" fillId="0" borderId="7" applyNumberFormat="0" applyFill="0" applyAlignment="0" applyProtection="0"/>
    <xf numFmtId="0" fontId="39" fillId="0" borderId="0"/>
    <xf numFmtId="0" fontId="40" fillId="5" borderId="0" applyNumberFormat="0" applyBorder="0" applyAlignment="0" applyProtection="0"/>
    <xf numFmtId="43" fontId="41" fillId="0" borderId="0" applyFont="0" applyFill="0" applyBorder="0" applyAlignment="0" applyProtection="0"/>
    <xf numFmtId="173" fontId="42" fillId="0" borderId="0"/>
    <xf numFmtId="37" fontId="42" fillId="0" borderId="0"/>
  </cellStyleXfs>
  <cellXfs count="212">
    <xf numFmtId="0" fontId="0" fillId="0" borderId="0" xfId="0"/>
    <xf numFmtId="0" fontId="5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Continuous"/>
    </xf>
    <xf numFmtId="0" fontId="7" fillId="0" borderId="0" xfId="0" applyFont="1"/>
    <xf numFmtId="0" fontId="7" fillId="0" borderId="3" xfId="0" applyFont="1" applyBorder="1" applyAlignment="1">
      <alignment horizontal="center"/>
    </xf>
    <xf numFmtId="164" fontId="7" fillId="0" borderId="0" xfId="0" quotePrefix="1" applyNumberFormat="1" applyFont="1" applyAlignment="1">
      <alignment horizontal="center"/>
    </xf>
    <xf numFmtId="165" fontId="6" fillId="0" borderId="0" xfId="1" applyNumberFormat="1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4" xfId="0" applyFont="1" applyBorder="1"/>
    <xf numFmtId="14" fontId="7" fillId="0" borderId="3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0" xfId="4"/>
    <xf numFmtId="0" fontId="3" fillId="3" borderId="1" xfId="3"/>
    <xf numFmtId="0" fontId="2" fillId="2" borderId="1" xfId="2"/>
    <xf numFmtId="165" fontId="2" fillId="2" borderId="1" xfId="2" applyNumberFormat="1"/>
    <xf numFmtId="165" fontId="3" fillId="3" borderId="1" xfId="3" applyNumberFormat="1"/>
    <xf numFmtId="43" fontId="3" fillId="3" borderId="1" xfId="3" applyNumberFormat="1"/>
    <xf numFmtId="164" fontId="4" fillId="0" borderId="0" xfId="4" applyNumberFormat="1" applyAlignment="1">
      <alignment horizontal="center"/>
    </xf>
    <xf numFmtId="0" fontId="7" fillId="0" borderId="0" xfId="0" quotePrefix="1" applyFont="1" applyAlignment="1">
      <alignment horizontal="center"/>
    </xf>
    <xf numFmtId="165" fontId="13" fillId="0" borderId="0" xfId="1" applyNumberFormat="1" applyFont="1" applyFill="1" applyBorder="1"/>
    <xf numFmtId="166" fontId="0" fillId="0" borderId="0" xfId="0" applyNumberFormat="1"/>
    <xf numFmtId="0" fontId="5" fillId="0" borderId="0" xfId="0" applyFont="1"/>
    <xf numFmtId="0" fontId="5" fillId="0" borderId="0" xfId="0" applyFont="1" applyFill="1" applyBorder="1"/>
    <xf numFmtId="1" fontId="5" fillId="0" borderId="0" xfId="0" applyNumberFormat="1" applyFont="1" applyFill="1" applyBorder="1"/>
    <xf numFmtId="1" fontId="5" fillId="0" borderId="0" xfId="0" applyNumberFormat="1" applyFont="1"/>
    <xf numFmtId="0" fontId="5" fillId="0" borderId="0" xfId="0" applyFont="1" applyAlignment="1">
      <alignment wrapText="1"/>
    </xf>
    <xf numFmtId="1" fontId="15" fillId="0" borderId="0" xfId="0" applyNumberFormat="1" applyFont="1" applyFill="1" applyBorder="1"/>
    <xf numFmtId="1" fontId="3" fillId="3" borderId="1" xfId="3" applyNumberFormat="1"/>
    <xf numFmtId="166" fontId="3" fillId="3" borderId="1" xfId="3" applyNumberFormat="1"/>
    <xf numFmtId="0" fontId="17" fillId="0" borderId="0" xfId="0" applyFont="1"/>
    <xf numFmtId="0" fontId="17" fillId="0" borderId="0" xfId="0" applyFont="1" applyFill="1" applyBorder="1"/>
    <xf numFmtId="166" fontId="0" fillId="4" borderId="5" xfId="6" applyNumberFormat="1" applyFont="1"/>
    <xf numFmtId="0" fontId="5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0" fontId="20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41" fontId="2" fillId="2" borderId="1" xfId="2" applyNumberFormat="1" applyAlignment="1"/>
    <xf numFmtId="0" fontId="21" fillId="0" borderId="0" xfId="0" quotePrefix="1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41" fontId="21" fillId="0" borderId="0" xfId="1" applyNumberFormat="1" applyFont="1" applyAlignment="1"/>
    <xf numFmtId="0" fontId="24" fillId="0" borderId="0" xfId="0" applyFont="1" applyAlignment="1">
      <alignment horizontal="center"/>
    </xf>
    <xf numFmtId="41" fontId="21" fillId="0" borderId="0" xfId="1" applyNumberFormat="1" applyFont="1" applyAlignment="1">
      <alignment wrapText="1"/>
    </xf>
    <xf numFmtId="0" fontId="8" fillId="0" borderId="0" xfId="0" applyFont="1" applyAlignment="1"/>
    <xf numFmtId="0" fontId="25" fillId="0" borderId="0" xfId="0" applyFont="1" applyAlignment="1">
      <alignment horizontal="center"/>
    </xf>
    <xf numFmtId="0" fontId="8" fillId="0" borderId="12" xfId="0" applyFont="1" applyBorder="1" applyAlignment="1">
      <alignment horizontal="right" wrapText="1"/>
    </xf>
    <xf numFmtId="166" fontId="8" fillId="0" borderId="0" xfId="0" applyNumberFormat="1" applyFont="1" applyBorder="1" applyAlignment="1"/>
    <xf numFmtId="0" fontId="26" fillId="0" borderId="0" xfId="0" applyFont="1" applyAlignment="1"/>
    <xf numFmtId="0" fontId="8" fillId="0" borderId="13" xfId="0" applyFont="1" applyFill="1" applyBorder="1" applyAlignment="1">
      <alignment horizontal="centerContinuous"/>
    </xf>
    <xf numFmtId="0" fontId="8" fillId="0" borderId="14" xfId="0" applyFont="1" applyFill="1" applyBorder="1" applyAlignment="1">
      <alignment horizontal="centerContinuous"/>
    </xf>
    <xf numFmtId="0" fontId="8" fillId="0" borderId="15" xfId="0" applyFont="1" applyFill="1" applyBorder="1" applyAlignment="1">
      <alignment horizontal="right"/>
    </xf>
    <xf numFmtId="0" fontId="8" fillId="0" borderId="16" xfId="0" applyFont="1" applyFill="1" applyBorder="1" applyAlignment="1"/>
    <xf numFmtId="0" fontId="27" fillId="0" borderId="15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right"/>
    </xf>
    <xf numFmtId="0" fontId="8" fillId="0" borderId="13" xfId="0" applyFont="1" applyBorder="1" applyAlignment="1">
      <alignment horizontal="centerContinuous"/>
    </xf>
    <xf numFmtId="0" fontId="8" fillId="0" borderId="14" xfId="0" applyFont="1" applyBorder="1" applyAlignment="1">
      <alignment horizontal="centerContinuous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/>
    <xf numFmtId="0" fontId="8" fillId="0" borderId="17" xfId="0" applyFont="1" applyBorder="1" applyAlignment="1">
      <alignment horizontal="right"/>
    </xf>
    <xf numFmtId="0" fontId="28" fillId="0" borderId="10" xfId="0" quotePrefix="1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169" fontId="21" fillId="0" borderId="0" xfId="0" applyNumberFormat="1" applyFont="1" applyBorder="1" applyAlignment="1"/>
    <xf numFmtId="166" fontId="21" fillId="0" borderId="0" xfId="0" applyNumberFormat="1" applyFont="1" applyBorder="1" applyAlignment="1"/>
    <xf numFmtId="166" fontId="21" fillId="0" borderId="0" xfId="0" applyNumberFormat="1" applyFont="1" applyBorder="1"/>
    <xf numFmtId="0" fontId="13" fillId="0" borderId="0" xfId="0" applyFont="1" applyAlignment="1"/>
    <xf numFmtId="0" fontId="1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2" fillId="2" borderId="1" xfId="2" applyAlignment="1"/>
    <xf numFmtId="0" fontId="0" fillId="4" borderId="5" xfId="6" applyFont="1"/>
    <xf numFmtId="166" fontId="2" fillId="2" borderId="1" xfId="2" applyNumberFormat="1" applyAlignment="1"/>
    <xf numFmtId="41" fontId="3" fillId="3" borderId="1" xfId="3" applyNumberFormat="1" applyAlignment="1"/>
    <xf numFmtId="169" fontId="3" fillId="3" borderId="1" xfId="3" applyNumberFormat="1"/>
    <xf numFmtId="166" fontId="3" fillId="3" borderId="1" xfId="3" applyNumberFormat="1" applyAlignment="1"/>
    <xf numFmtId="0" fontId="19" fillId="0" borderId="7" xfId="8"/>
    <xf numFmtId="0" fontId="18" fillId="3" borderId="6" xfId="7"/>
    <xf numFmtId="41" fontId="3" fillId="3" borderId="1" xfId="3" applyNumberFormat="1" applyAlignment="1">
      <alignment wrapText="1"/>
    </xf>
    <xf numFmtId="167" fontId="3" fillId="3" borderId="1" xfId="3" applyNumberFormat="1" applyAlignment="1"/>
    <xf numFmtId="167" fontId="3" fillId="3" borderId="1" xfId="3" applyNumberFormat="1"/>
    <xf numFmtId="168" fontId="3" fillId="3" borderId="1" xfId="3" applyNumberFormat="1"/>
    <xf numFmtId="165" fontId="19" fillId="0" borderId="7" xfId="8" applyNumberFormat="1"/>
    <xf numFmtId="165" fontId="18" fillId="3" borderId="6" xfId="7" applyNumberFormat="1"/>
    <xf numFmtId="0" fontId="29" fillId="0" borderId="0" xfId="0" applyFont="1" applyAlignment="1">
      <alignment horizontal="left"/>
    </xf>
    <xf numFmtId="0" fontId="30" fillId="0" borderId="0" xfId="0" applyFont="1" applyAlignment="1"/>
    <xf numFmtId="0" fontId="31" fillId="0" borderId="0" xfId="0" applyFont="1"/>
    <xf numFmtId="0" fontId="2" fillId="2" borderId="1" xfId="2" applyNumberFormat="1" applyAlignment="1"/>
    <xf numFmtId="0" fontId="32" fillId="0" borderId="0" xfId="0" applyFont="1" applyAlignment="1"/>
    <xf numFmtId="0" fontId="3" fillId="3" borderId="1" xfId="3" applyNumberFormat="1" applyAlignment="1"/>
    <xf numFmtId="0" fontId="0" fillId="4" borderId="5" xfId="6" quotePrefix="1" applyFont="1"/>
    <xf numFmtId="0" fontId="34" fillId="0" borderId="0" xfId="0" applyFont="1"/>
    <xf numFmtId="0" fontId="19" fillId="0" borderId="18" xfId="8" applyBorder="1"/>
    <xf numFmtId="0" fontId="0" fillId="0" borderId="0" xfId="0" applyFill="1"/>
    <xf numFmtId="0" fontId="33" fillId="0" borderId="0" xfId="0" applyFont="1" applyFill="1"/>
    <xf numFmtId="43" fontId="2" fillId="2" borderId="1" xfId="2" applyNumberFormat="1" applyAlignment="1"/>
    <xf numFmtId="43" fontId="21" fillId="0" borderId="0" xfId="1" applyNumberFormat="1" applyFont="1" applyAlignment="1"/>
    <xf numFmtId="42" fontId="18" fillId="3" borderId="6" xfId="7" applyNumberFormat="1" applyAlignment="1"/>
    <xf numFmtId="0" fontId="2" fillId="2" borderId="1" xfId="2" applyAlignment="1">
      <alignment horizontal="centerContinuous"/>
    </xf>
    <xf numFmtId="42" fontId="3" fillId="3" borderId="1" xfId="3" applyNumberFormat="1"/>
    <xf numFmtId="42" fontId="18" fillId="3" borderId="6" xfId="7" applyNumberFormat="1"/>
    <xf numFmtId="0" fontId="35" fillId="2" borderId="1" xfId="2" applyFont="1" applyAlignment="1">
      <alignment horizontal="center" vertical="center"/>
    </xf>
    <xf numFmtId="0" fontId="13" fillId="0" borderId="0" xfId="9" applyFont="1"/>
    <xf numFmtId="0" fontId="13" fillId="0" borderId="0" xfId="9" applyFont="1" applyAlignment="1">
      <alignment horizontal="right"/>
    </xf>
    <xf numFmtId="0" fontId="16" fillId="0" borderId="0" xfId="9" applyFont="1" applyAlignment="1">
      <alignment horizontal="center"/>
    </xf>
    <xf numFmtId="0" fontId="13" fillId="0" borderId="0" xfId="9" applyFont="1" applyAlignment="1">
      <alignment horizontal="center"/>
    </xf>
    <xf numFmtId="166" fontId="13" fillId="0" borderId="0" xfId="9" applyNumberFormat="1" applyFont="1"/>
    <xf numFmtId="0" fontId="13" fillId="0" borderId="0" xfId="9" quotePrefix="1" applyFont="1" applyAlignment="1">
      <alignment horizontal="center"/>
    </xf>
    <xf numFmtId="166" fontId="38" fillId="0" borderId="0" xfId="9" applyNumberFormat="1" applyFont="1"/>
    <xf numFmtId="166" fontId="13" fillId="0" borderId="0" xfId="9" applyNumberFormat="1" applyFont="1" applyAlignment="1">
      <alignment horizontal="right"/>
    </xf>
    <xf numFmtId="0" fontId="16" fillId="0" borderId="0" xfId="9" quotePrefix="1" applyFont="1" applyAlignment="1">
      <alignment horizontal="center"/>
    </xf>
    <xf numFmtId="0" fontId="16" fillId="0" borderId="0" xfId="9" quotePrefix="1" applyFont="1" applyAlignment="1"/>
    <xf numFmtId="170" fontId="13" fillId="0" borderId="0" xfId="9" applyNumberFormat="1" applyFont="1"/>
    <xf numFmtId="0" fontId="16" fillId="0" borderId="0" xfId="9" applyFont="1" applyAlignment="1"/>
    <xf numFmtId="0" fontId="13" fillId="0" borderId="0" xfId="9" quotePrefix="1" applyFont="1" applyAlignment="1">
      <alignment horizontal="left"/>
    </xf>
    <xf numFmtId="0" fontId="13" fillId="0" borderId="0" xfId="9" quotePrefix="1" applyFont="1" applyAlignment="1">
      <alignment horizontal="right"/>
    </xf>
    <xf numFmtId="0" fontId="37" fillId="0" borderId="0" xfId="9" applyFont="1" applyAlignment="1">
      <alignment horizontal="right"/>
    </xf>
    <xf numFmtId="0" fontId="13" fillId="0" borderId="10" xfId="9" applyFont="1" applyBorder="1" applyAlignment="1">
      <alignment horizontal="center"/>
    </xf>
    <xf numFmtId="0" fontId="13" fillId="0" borderId="13" xfId="9" applyFont="1" applyBorder="1" applyAlignment="1">
      <alignment horizontal="center"/>
    </xf>
    <xf numFmtId="0" fontId="13" fillId="0" borderId="19" xfId="9" applyFont="1" applyBorder="1" applyAlignment="1">
      <alignment horizontal="center"/>
    </xf>
    <xf numFmtId="0" fontId="13" fillId="0" borderId="14" xfId="9" applyFont="1" applyBorder="1" applyAlignment="1">
      <alignment horizontal="center"/>
    </xf>
    <xf numFmtId="0" fontId="13" fillId="0" borderId="14" xfId="9" applyFont="1" applyBorder="1"/>
    <xf numFmtId="0" fontId="13" fillId="0" borderId="11" xfId="9" applyFont="1" applyBorder="1" applyAlignment="1">
      <alignment horizontal="center"/>
    </xf>
    <xf numFmtId="0" fontId="13" fillId="0" borderId="17" xfId="9" quotePrefix="1" applyFont="1" applyBorder="1" applyAlignment="1">
      <alignment horizontal="center"/>
    </xf>
    <xf numFmtId="0" fontId="13" fillId="0" borderId="2" xfId="9" applyFont="1" applyBorder="1" applyAlignment="1">
      <alignment horizontal="center"/>
    </xf>
    <xf numFmtId="0" fontId="13" fillId="0" borderId="20" xfId="9" applyFont="1" applyBorder="1" applyAlignment="1">
      <alignment horizontal="center"/>
    </xf>
    <xf numFmtId="171" fontId="13" fillId="0" borderId="17" xfId="9" quotePrefix="1" applyNumberFormat="1" applyFont="1" applyBorder="1" applyAlignment="1">
      <alignment horizontal="center"/>
    </xf>
    <xf numFmtId="0" fontId="13" fillId="0" borderId="2" xfId="9" quotePrefix="1" applyFont="1" applyBorder="1" applyAlignment="1">
      <alignment horizontal="center"/>
    </xf>
    <xf numFmtId="0" fontId="13" fillId="0" borderId="20" xfId="9" applyFont="1" applyBorder="1"/>
    <xf numFmtId="1" fontId="13" fillId="0" borderId="21" xfId="9" applyNumberFormat="1" applyFont="1" applyBorder="1"/>
    <xf numFmtId="2" fontId="13" fillId="0" borderId="13" xfId="9" applyNumberFormat="1" applyFont="1" applyBorder="1"/>
    <xf numFmtId="2" fontId="13" fillId="0" borderId="19" xfId="9" applyNumberFormat="1" applyFont="1" applyBorder="1"/>
    <xf numFmtId="166" fontId="13" fillId="0" borderId="13" xfId="9" applyNumberFormat="1" applyFont="1" applyBorder="1"/>
    <xf numFmtId="1" fontId="13" fillId="0" borderId="13" xfId="10" applyNumberFormat="1" applyFont="1" applyFill="1" applyBorder="1"/>
    <xf numFmtId="166" fontId="13" fillId="0" borderId="19" xfId="10" applyNumberFormat="1" applyFont="1" applyFill="1" applyBorder="1"/>
    <xf numFmtId="166" fontId="13" fillId="0" borderId="14" xfId="10" applyNumberFormat="1" applyFont="1" applyFill="1" applyBorder="1"/>
    <xf numFmtId="172" fontId="13" fillId="0" borderId="0" xfId="11" applyNumberFormat="1" applyFont="1"/>
    <xf numFmtId="2" fontId="13" fillId="0" borderId="15" xfId="9" applyNumberFormat="1" applyFont="1" applyBorder="1"/>
    <xf numFmtId="0" fontId="13" fillId="0" borderId="0" xfId="9" applyFont="1" applyBorder="1"/>
    <xf numFmtId="0" fontId="13" fillId="0" borderId="16" xfId="9" applyFont="1" applyBorder="1"/>
    <xf numFmtId="166" fontId="13" fillId="0" borderId="15" xfId="9" applyNumberFormat="1" applyFont="1" applyBorder="1"/>
    <xf numFmtId="1" fontId="13" fillId="0" borderId="15" xfId="10" applyNumberFormat="1" applyFont="1" applyFill="1" applyBorder="1"/>
    <xf numFmtId="166" fontId="13" fillId="0" borderId="0" xfId="10" applyNumberFormat="1" applyFont="1" applyFill="1" applyBorder="1"/>
    <xf numFmtId="166" fontId="13" fillId="0" borderId="16" xfId="10" applyNumberFormat="1" applyFont="1" applyFill="1" applyBorder="1"/>
    <xf numFmtId="1" fontId="13" fillId="0" borderId="11" xfId="9" applyNumberFormat="1" applyFont="1" applyBorder="1"/>
    <xf numFmtId="0" fontId="13" fillId="0" borderId="2" xfId="9" applyFont="1" applyBorder="1"/>
    <xf numFmtId="166" fontId="13" fillId="0" borderId="17" xfId="9" applyNumberFormat="1" applyFont="1" applyBorder="1"/>
    <xf numFmtId="1" fontId="13" fillId="0" borderId="17" xfId="10" applyNumberFormat="1" applyFont="1" applyFill="1" applyBorder="1"/>
    <xf numFmtId="166" fontId="13" fillId="0" borderId="2" xfId="10" applyNumberFormat="1" applyFont="1" applyFill="1" applyBorder="1"/>
    <xf numFmtId="166" fontId="13" fillId="0" borderId="20" xfId="10" applyNumberFormat="1" applyFont="1" applyFill="1" applyBorder="1"/>
    <xf numFmtId="0" fontId="16" fillId="0" borderId="0" xfId="9" applyFont="1" applyAlignment="1">
      <alignment horizontal="centerContinuous"/>
    </xf>
    <xf numFmtId="0" fontId="13" fillId="0" borderId="0" xfId="9" applyFont="1" applyAlignment="1">
      <alignment horizontal="centerContinuous"/>
    </xf>
    <xf numFmtId="0" fontId="23" fillId="0" borderId="0" xfId="9" applyFont="1"/>
    <xf numFmtId="0" fontId="43" fillId="7" borderId="0" xfId="0" applyFont="1" applyFill="1"/>
    <xf numFmtId="0" fontId="44" fillId="7" borderId="0" xfId="0" applyFont="1" applyFill="1" applyBorder="1"/>
    <xf numFmtId="0" fontId="44" fillId="7" borderId="0" xfId="0" applyFont="1" applyFill="1"/>
    <xf numFmtId="0" fontId="43" fillId="7" borderId="2" xfId="0" quotePrefix="1" applyFont="1" applyFill="1" applyBorder="1" applyAlignment="1">
      <alignment horizontal="right"/>
    </xf>
    <xf numFmtId="0" fontId="44" fillId="7" borderId="2" xfId="0" quotePrefix="1" applyFont="1" applyFill="1" applyBorder="1" applyAlignment="1">
      <alignment horizontal="right"/>
    </xf>
    <xf numFmtId="0" fontId="44" fillId="7" borderId="2" xfId="0" applyFont="1" applyFill="1" applyBorder="1" applyAlignment="1">
      <alignment horizontal="left"/>
    </xf>
    <xf numFmtId="166" fontId="44" fillId="7" borderId="17" xfId="0" applyNumberFormat="1" applyFont="1" applyFill="1" applyBorder="1"/>
    <xf numFmtId="0" fontId="43" fillId="7" borderId="22" xfId="0" quotePrefix="1" applyFont="1" applyFill="1" applyBorder="1" applyAlignment="1">
      <alignment horizontal="right"/>
    </xf>
    <xf numFmtId="0" fontId="44" fillId="7" borderId="22" xfId="0" applyFont="1" applyFill="1" applyBorder="1" applyAlignment="1">
      <alignment horizontal="right"/>
    </xf>
    <xf numFmtId="0" fontId="44" fillId="7" borderId="22" xfId="0" applyFont="1" applyFill="1" applyBorder="1" applyAlignment="1">
      <alignment horizontal="left"/>
    </xf>
    <xf numFmtId="166" fontId="44" fillId="7" borderId="4" xfId="0" applyNumberFormat="1" applyFont="1" applyFill="1" applyBorder="1"/>
    <xf numFmtId="0" fontId="44" fillId="7" borderId="22" xfId="0" quotePrefix="1" applyFont="1" applyFill="1" applyBorder="1" applyAlignment="1">
      <alignment horizontal="right"/>
    </xf>
    <xf numFmtId="0" fontId="44" fillId="7" borderId="22" xfId="0" applyFont="1" applyFill="1" applyBorder="1"/>
    <xf numFmtId="0" fontId="43" fillId="7" borderId="22" xfId="0" applyFont="1" applyFill="1" applyBorder="1" applyAlignment="1">
      <alignment horizontal="right"/>
    </xf>
    <xf numFmtId="0" fontId="45" fillId="7" borderId="0" xfId="0" applyFont="1" applyFill="1"/>
    <xf numFmtId="0" fontId="46" fillId="7" borderId="0" xfId="0" applyFont="1" applyFill="1"/>
    <xf numFmtId="0" fontId="47" fillId="7" borderId="0" xfId="0" applyFont="1" applyFill="1" applyAlignment="1">
      <alignment horizontal="right"/>
    </xf>
    <xf numFmtId="0" fontId="48" fillId="6" borderId="0" xfId="0" quotePrefix="1" applyFont="1" applyFill="1" applyAlignment="1">
      <alignment horizontal="left"/>
    </xf>
    <xf numFmtId="166" fontId="48" fillId="6" borderId="15" xfId="0" applyNumberFormat="1" applyFont="1" applyFill="1" applyBorder="1"/>
    <xf numFmtId="166" fontId="45" fillId="7" borderId="23" xfId="0" applyNumberFormat="1" applyFont="1" applyFill="1" applyBorder="1"/>
    <xf numFmtId="0" fontId="14" fillId="0" borderId="0" xfId="0" applyFont="1" applyFill="1"/>
    <xf numFmtId="165" fontId="0" fillId="0" borderId="0" xfId="0" applyNumberFormat="1"/>
    <xf numFmtId="0" fontId="14" fillId="0" borderId="0" xfId="0" applyFont="1" applyFill="1" applyAlignment="1">
      <alignment wrapText="1"/>
    </xf>
    <xf numFmtId="165" fontId="13" fillId="0" borderId="0" xfId="1" applyNumberFormat="1" applyFont="1" applyFill="1"/>
    <xf numFmtId="0" fontId="0" fillId="4" borderId="24" xfId="6" quotePrefix="1" applyFont="1" applyBorder="1"/>
    <xf numFmtId="0" fontId="19" fillId="0" borderId="25" xfId="8" applyBorder="1"/>
    <xf numFmtId="0" fontId="0" fillId="0" borderId="16" xfId="0" applyBorder="1" applyAlignment="1"/>
    <xf numFmtId="0" fontId="19" fillId="2" borderId="7" xfId="8" applyFill="1"/>
    <xf numFmtId="166" fontId="19" fillId="2" borderId="7" xfId="8" applyNumberFormat="1" applyFill="1" applyAlignment="1"/>
    <xf numFmtId="166" fontId="19" fillId="2" borderId="7" xfId="8" applyNumberFormat="1" applyFill="1"/>
    <xf numFmtId="0" fontId="15" fillId="0" borderId="1" xfId="3" applyFont="1" applyFill="1"/>
    <xf numFmtId="0" fontId="15" fillId="0" borderId="0" xfId="0" applyNumberFormat="1" applyFont="1" applyAlignment="1">
      <alignment horizontal="right" wrapText="1"/>
    </xf>
    <xf numFmtId="167" fontId="3" fillId="6" borderId="1" xfId="3" applyNumberFormat="1" applyFill="1" applyAlignment="1"/>
    <xf numFmtId="0" fontId="0" fillId="6" borderId="0" xfId="0" applyFill="1"/>
    <xf numFmtId="167" fontId="3" fillId="6" borderId="1" xfId="3" applyNumberFormat="1" applyFill="1"/>
    <xf numFmtId="168" fontId="3" fillId="6" borderId="1" xfId="3" applyNumberFormat="1" applyFill="1"/>
    <xf numFmtId="0" fontId="0" fillId="6" borderId="12" xfId="0" applyFill="1" applyBorder="1"/>
    <xf numFmtId="41" fontId="3" fillId="6" borderId="1" xfId="3" applyNumberFormat="1" applyFill="1" applyAlignment="1">
      <alignment wrapText="1"/>
    </xf>
    <xf numFmtId="166" fontId="3" fillId="6" borderId="1" xfId="3" applyNumberFormat="1" applyFill="1"/>
    <xf numFmtId="165" fontId="9" fillId="8" borderId="1" xfId="1" applyNumberFormat="1" applyFont="1" applyFill="1" applyBorder="1"/>
    <xf numFmtId="165" fontId="9" fillId="6" borderId="1" xfId="1" applyNumberFormat="1" applyFont="1" applyFill="1" applyBorder="1"/>
    <xf numFmtId="0" fontId="0" fillId="0" borderId="0" xfId="0" quotePrefix="1" applyAlignment="1">
      <alignment horizontal="left"/>
    </xf>
    <xf numFmtId="3" fontId="3" fillId="3" borderId="1" xfId="3" applyNumberFormat="1"/>
    <xf numFmtId="0" fontId="16" fillId="0" borderId="0" xfId="9" quotePrefix="1" applyFont="1" applyAlignment="1">
      <alignment horizontal="center"/>
    </xf>
    <xf numFmtId="0" fontId="16" fillId="0" borderId="0" xfId="9" applyFont="1" applyAlignment="1">
      <alignment horizontal="center"/>
    </xf>
  </cellXfs>
  <cellStyles count="14">
    <cellStyle name="Bad 2" xfId="10"/>
    <cellStyle name="Calculation" xfId="3" builtinId="22"/>
    <cellStyle name="Comma" xfId="1" builtinId="3"/>
    <cellStyle name="Comma 2" xfId="11"/>
    <cellStyle name="Explanatory Text" xfId="4" builtinId="53"/>
    <cellStyle name="Input" xfId="2" builtinId="20"/>
    <cellStyle name="LDF" xfId="12"/>
    <cellStyle name="Linked Cell" xfId="8" builtinId="24"/>
    <cellStyle name="Loss" xfId="13"/>
    <cellStyle name="Normal" xfId="0" builtinId="0"/>
    <cellStyle name="Normal 2" xfId="9"/>
    <cellStyle name="Normal 2 2" xfId="5"/>
    <cellStyle name="Note" xfId="6" builtinId="10"/>
    <cellStyle name="Output" xfId="7" builtinId="2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Accumulated Incremental Model Fits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'1) Incremental Method'!$D$59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'1) Incremental Method'!$C$61:$C$94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'1) Incremental Method'!$D$61:$D$94</c:f>
              <c:numCache>
                <c:formatCode>0.000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'1) Incremental Method'!$L$59</c:f>
              <c:strCache>
                <c:ptCount val="1"/>
                <c:pt idx="0">
                  <c:v>Weibull</c:v>
                </c:pt>
              </c:strCache>
            </c:strRef>
          </c:tx>
          <c:marker>
            <c:symbol val="none"/>
          </c:marker>
          <c:val>
            <c:numRef>
              <c:f>'1) Incremental Method'!$L$61:$L$94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'1) Incremental Method'!$M$59</c:f>
              <c:strCache>
                <c:ptCount val="1"/>
                <c:pt idx="0">
                  <c:v>Gompertz</c:v>
                </c:pt>
              </c:strCache>
            </c:strRef>
          </c:tx>
          <c:marker>
            <c:symbol val="none"/>
          </c:marker>
          <c:val>
            <c:numRef>
              <c:f>'1) Incremental Method'!$M$61:$M$94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15712"/>
        <c:axId val="150995712"/>
      </c:lineChart>
      <c:catAx>
        <c:axId val="15091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in Years (x)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0995712"/>
        <c:crosses val="autoZero"/>
        <c:auto val="1"/>
        <c:lblAlgn val="ctr"/>
        <c:lblOffset val="100"/>
        <c:noMultiLvlLbl val="0"/>
      </c:catAx>
      <c:valAx>
        <c:axId val="150995712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1509157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Selected Incremental Development Factors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Selected</c:v>
          </c:tx>
          <c:marker>
            <c:symbol val="none"/>
          </c:marker>
          <c:cat>
            <c:numRef>
              <c:f>'1) Incremental Method'!$C$35:$AI$35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'1) Incremental Method'!$C$31:$AI$31</c:f>
              <c:numCache>
                <c:formatCode>#,##0.000_);\(#,##0.000\)</c:formatCode>
                <c:ptCount val="19"/>
                <c:pt idx="8">
                  <c:v>0.68113841338133396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20288"/>
        <c:axId val="151022208"/>
      </c:lineChart>
      <c:catAx>
        <c:axId val="15102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(Years)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022208"/>
        <c:crosses val="autoZero"/>
        <c:auto val="1"/>
        <c:lblAlgn val="ctr"/>
        <c:lblOffset val="100"/>
        <c:tickLblSkip val="1"/>
        <c:noMultiLvlLbl val="0"/>
      </c:catAx>
      <c:valAx>
        <c:axId val="151022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Selected Factor</a:t>
                </a:r>
              </a:p>
            </c:rich>
          </c:tx>
          <c:layout/>
          <c:overlay val="0"/>
        </c:title>
        <c:numFmt formatCode="#,##0.00_);\(#,##0.00\)" sourceLinked="0"/>
        <c:majorTickMark val="none"/>
        <c:minorTickMark val="none"/>
        <c:tickLblPos val="nextTo"/>
        <c:crossAx val="15102028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Accumulated Incremental Model Fits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'1) Solution'!$D$59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'1) Solution'!$C$61:$C$94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'1) Solution'!$D$61:$D$94</c:f>
              <c:numCache>
                <c:formatCode>0.000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2.1836821287212409</c:v>
                </c:pt>
                <c:pt idx="13">
                  <c:v>5.5123593865148663</c:v>
                </c:pt>
                <c:pt idx="14">
                  <c:v>6.8581211181901622</c:v>
                </c:pt>
                <c:pt idx="15">
                  <c:v>9.1869293091807016</c:v>
                </c:pt>
                <c:pt idx="16">
                  <c:v>10.003176398660859</c:v>
                </c:pt>
                <c:pt idx="17">
                  <c:v>10.954028236043696</c:v>
                </c:pt>
                <c:pt idx="18">
                  <c:v>12.040127820245239</c:v>
                </c:pt>
                <c:pt idx="19">
                  <c:v>13.199500522454606</c:v>
                </c:pt>
                <c:pt idx="20">
                  <c:v>14.852360242577694</c:v>
                </c:pt>
                <c:pt idx="21">
                  <c:v>15.482583706343261</c:v>
                </c:pt>
                <c:pt idx="22">
                  <c:v>15.812194989018286</c:v>
                </c:pt>
                <c:pt idx="23">
                  <c:v>16.070531534224077</c:v>
                </c:pt>
                <c:pt idx="24">
                  <c:v>16.596009089465465</c:v>
                </c:pt>
                <c:pt idx="25">
                  <c:v>17.043355252031457</c:v>
                </c:pt>
                <c:pt idx="26">
                  <c:v>17.815991899075311</c:v>
                </c:pt>
                <c:pt idx="27">
                  <c:v>17.92573110651314</c:v>
                </c:pt>
                <c:pt idx="28">
                  <c:v>18.034828577405655</c:v>
                </c:pt>
                <c:pt idx="29">
                  <c:v>18.236252208469363</c:v>
                </c:pt>
                <c:pt idx="30">
                  <c:v>18.32702168133941</c:v>
                </c:pt>
                <c:pt idx="31">
                  <c:v>18.32702168133941</c:v>
                </c:pt>
                <c:pt idx="32">
                  <c:v>18.32702168133941</c:v>
                </c:pt>
                <c:pt idx="33">
                  <c:v>18.32702168133941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'1) Solution'!$L$59</c:f>
              <c:strCache>
                <c:ptCount val="1"/>
                <c:pt idx="0">
                  <c:v>Weibull</c:v>
                </c:pt>
              </c:strCache>
            </c:strRef>
          </c:tx>
          <c:marker>
            <c:symbol val="none"/>
          </c:marker>
          <c:val>
            <c:numRef>
              <c:f>'1) Solution'!$L$61:$L$94</c:f>
              <c:numCache>
                <c:formatCode>0.000</c:formatCode>
                <c:ptCount val="34"/>
                <c:pt idx="0">
                  <c:v>-3.0106901753450002</c:v>
                </c:pt>
                <c:pt idx="1">
                  <c:v>-3.0106901753450002</c:v>
                </c:pt>
                <c:pt idx="2">
                  <c:v>-3.0106901753450002</c:v>
                </c:pt>
                <c:pt idx="3">
                  <c:v>-3.0106901753450002</c:v>
                </c:pt>
                <c:pt idx="4">
                  <c:v>-3.0106901753449105</c:v>
                </c:pt>
                <c:pt idx="5">
                  <c:v>-3.010689840845175</c:v>
                </c:pt>
                <c:pt idx="6">
                  <c:v>-3.0102138487359382</c:v>
                </c:pt>
                <c:pt idx="7">
                  <c:v>-2.9876299806920046</c:v>
                </c:pt>
                <c:pt idx="8">
                  <c:v>-2.7929722204695251</c:v>
                </c:pt>
                <c:pt idx="9">
                  <c:v>-2.1437667269714877</c:v>
                </c:pt>
                <c:pt idx="10">
                  <c:v>-0.89288153208496723</c:v>
                </c:pt>
                <c:pt idx="11">
                  <c:v>0.85188409207500548</c:v>
                </c:pt>
                <c:pt idx="12">
                  <c:v>2.8563301847381144</c:v>
                </c:pt>
                <c:pt idx="13">
                  <c:v>4.9014513757507174</c:v>
                </c:pt>
                <c:pt idx="14">
                  <c:v>6.840109013984736</c:v>
                </c:pt>
                <c:pt idx="15">
                  <c:v>8.5954561836596071</c:v>
                </c:pt>
                <c:pt idx="16">
                  <c:v>10.140189843308008</c:v>
                </c:pt>
                <c:pt idx="17">
                  <c:v>11.476191599400913</c:v>
                </c:pt>
                <c:pt idx="18">
                  <c:v>12.620041894396046</c:v>
                </c:pt>
                <c:pt idx="19">
                  <c:v>13.594162164564359</c:v>
                </c:pt>
                <c:pt idx="20">
                  <c:v>14.421939784520202</c:v>
                </c:pt>
                <c:pt idx="21">
                  <c:v>15.12531956750729</c:v>
                </c:pt>
                <c:pt idx="22">
                  <c:v>15.723801866333389</c:v>
                </c:pt>
                <c:pt idx="23">
                  <c:v>16.234189220657274</c:v>
                </c:pt>
                <c:pt idx="24">
                  <c:v>16.670700179188952</c:v>
                </c:pt>
                <c:pt idx="25">
                  <c:v>17.045240277938603</c:v>
                </c:pt>
                <c:pt idx="26">
                  <c:v>17.367720178321605</c:v>
                </c:pt>
                <c:pt idx="27">
                  <c:v>17.646367034437112</c:v>
                </c:pt>
                <c:pt idx="28">
                  <c:v>17.888005500989674</c:v>
                </c:pt>
                <c:pt idx="29">
                  <c:v>18.098300579202231</c:v>
                </c:pt>
                <c:pt idx="30">
                  <c:v>18.281962261795304</c:v>
                </c:pt>
                <c:pt idx="31">
                  <c:v>18.442915395567098</c:v>
                </c:pt>
                <c:pt idx="32">
                  <c:v>18.584439400894126</c:v>
                </c:pt>
                <c:pt idx="33">
                  <c:v>18.709282602820942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'1) Solution'!$M$59</c:f>
              <c:strCache>
                <c:ptCount val="1"/>
                <c:pt idx="0">
                  <c:v>Gompertz</c:v>
                </c:pt>
              </c:strCache>
            </c:strRef>
          </c:tx>
          <c:marker>
            <c:symbol val="none"/>
          </c:marker>
          <c:val>
            <c:numRef>
              <c:f>'1) Solution'!$M$61:$M$94</c:f>
              <c:numCache>
                <c:formatCode>0.000</c:formatCode>
                <c:ptCount val="34"/>
                <c:pt idx="0">
                  <c:v>-14.100889672618598</c:v>
                </c:pt>
                <c:pt idx="1">
                  <c:v>-13.97114437950435</c:v>
                </c:pt>
                <c:pt idx="2">
                  <c:v>-13.695076762325128</c:v>
                </c:pt>
                <c:pt idx="3">
                  <c:v>-13.193302076700625</c:v>
                </c:pt>
                <c:pt idx="4">
                  <c:v>-12.393613678047837</c:v>
                </c:pt>
                <c:pt idx="5">
                  <c:v>-11.251389677990328</c:v>
                </c:pt>
                <c:pt idx="6">
                  <c:v>-9.7622256793352769</c:v>
                </c:pt>
                <c:pt idx="7">
                  <c:v>-7.9628246954578872</c:v>
                </c:pt>
                <c:pt idx="8">
                  <c:v>-5.9218258293827208</c:v>
                </c:pt>
                <c:pt idx="9">
                  <c:v>-3.7254726156884672</c:v>
                </c:pt>
                <c:pt idx="10">
                  <c:v>-1.4631640944788913</c:v>
                </c:pt>
                <c:pt idx="11">
                  <c:v>0.78379037483086478</c:v>
                </c:pt>
                <c:pt idx="12">
                  <c:v>2.9489768924764377</c:v>
                </c:pt>
                <c:pt idx="13">
                  <c:v>4.9835491027573546</c:v>
                </c:pt>
                <c:pt idx="14">
                  <c:v>6.8558374214044413</c:v>
                </c:pt>
                <c:pt idx="15">
                  <c:v>8.5491163533150001</c:v>
                </c:pt>
                <c:pt idx="16">
                  <c:v>10.05855714067928</c:v>
                </c:pt>
                <c:pt idx="17">
                  <c:v>11.388080054188023</c:v>
                </c:pt>
                <c:pt idx="18">
                  <c:v>12.547522065447936</c:v>
                </c:pt>
                <c:pt idx="19">
                  <c:v>13.550307603537142</c:v>
                </c:pt>
                <c:pt idx="20">
                  <c:v>14.411661161860128</c:v>
                </c:pt>
                <c:pt idx="21">
                  <c:v>15.147317203562199</c:v>
                </c:pt>
                <c:pt idx="22">
                  <c:v>15.772645632864872</c:v>
                </c:pt>
                <c:pt idx="23">
                  <c:v>16.302102403316745</c:v>
                </c:pt>
                <c:pt idx="24">
                  <c:v>16.748921450153599</c:v>
                </c:pt>
                <c:pt idx="25">
                  <c:v>17.124977409364483</c:v>
                </c:pt>
                <c:pt idx="26">
                  <c:v>17.440763432746451</c:v>
                </c:pt>
                <c:pt idx="27">
                  <c:v>17.705442193297298</c:v>
                </c:pt>
                <c:pt idx="28">
                  <c:v>17.926939792043065</c:v>
                </c:pt>
                <c:pt idx="29">
                  <c:v>18.112061479448691</c:v>
                </c:pt>
                <c:pt idx="30">
                  <c:v>18.266615074863736</c:v>
                </c:pt>
                <c:pt idx="31">
                  <c:v>18.395533062189884</c:v>
                </c:pt>
                <c:pt idx="32">
                  <c:v>18.502987949394708</c:v>
                </c:pt>
                <c:pt idx="33">
                  <c:v>18.592497960977454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83136"/>
        <c:axId val="151485056"/>
      </c:lineChart>
      <c:catAx>
        <c:axId val="1514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in Years (x)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485056"/>
        <c:crosses val="autoZero"/>
        <c:auto val="1"/>
        <c:lblAlgn val="ctr"/>
        <c:lblOffset val="100"/>
        <c:noMultiLvlLbl val="0"/>
      </c:catAx>
      <c:valAx>
        <c:axId val="151485056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151483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Selected Incremental Development Factors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Selected</c:v>
          </c:tx>
          <c:marker>
            <c:symbol val="none"/>
          </c:marker>
          <c:cat>
            <c:numRef>
              <c:f>'1) Solution'!$C$35:$AI$35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</c:numCache>
            </c:numRef>
          </c:cat>
          <c:val>
            <c:numRef>
              <c:f>'1) Solution'!$C$31:$AI$31</c:f>
              <c:numCache>
                <c:formatCode>#,##0.000_);\(#,##0.000\)</c:formatCode>
                <c:ptCount val="19"/>
                <c:pt idx="1">
                  <c:v>0.59946812094922364</c:v>
                </c:pt>
                <c:pt idx="2">
                  <c:v>0.46278882305526181</c:v>
                </c:pt>
                <c:pt idx="3">
                  <c:v>0.31644445541588051</c:v>
                </c:pt>
                <c:pt idx="4">
                  <c:v>0.48158088923827896</c:v>
                </c:pt>
                <c:pt idx="5">
                  <c:v>0</c:v>
                </c:pt>
                <c:pt idx="6">
                  <c:v>0</c:v>
                </c:pt>
                <c:pt idx="7">
                  <c:v>0.74709307390292778</c:v>
                </c:pt>
                <c:pt idx="8">
                  <c:v>0.68113841338133396</c:v>
                </c:pt>
                <c:pt idx="9">
                  <c:v>1.2180986441406219</c:v>
                </c:pt>
                <c:pt idx="10">
                  <c:v>0.42274236168833373</c:v>
                </c:pt>
                <c:pt idx="11">
                  <c:v>1.1836821287212411</c:v>
                </c:pt>
                <c:pt idx="12">
                  <c:v>0.14203210248659107</c:v>
                </c:pt>
                <c:pt idx="13">
                  <c:v>0.99415216712151766</c:v>
                </c:pt>
                <c:pt idx="14">
                  <c:v>1.8462722317564442</c:v>
                </c:pt>
                <c:pt idx="15">
                  <c:v>0.45063964139012913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09632"/>
        <c:axId val="151511808"/>
      </c:lineChart>
      <c:catAx>
        <c:axId val="15150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(Years)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11808"/>
        <c:crosses val="autoZero"/>
        <c:auto val="1"/>
        <c:lblAlgn val="ctr"/>
        <c:lblOffset val="100"/>
        <c:tickLblSkip val="1"/>
        <c:noMultiLvlLbl val="0"/>
      </c:catAx>
      <c:valAx>
        <c:axId val="151511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Selected Factor</a:t>
                </a:r>
              </a:p>
            </c:rich>
          </c:tx>
          <c:layout/>
          <c:overlay val="0"/>
        </c:title>
        <c:numFmt formatCode="#,##0.00_);\(#,##0.00\)" sourceLinked="0"/>
        <c:majorTickMark val="none"/>
        <c:minorTickMark val="none"/>
        <c:tickLblPos val="nextTo"/>
        <c:crossAx val="15150963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85</xdr:row>
      <xdr:rowOff>0</xdr:rowOff>
    </xdr:from>
    <xdr:to>
      <xdr:col>7</xdr:col>
      <xdr:colOff>542925</xdr:colOff>
      <xdr:row>88</xdr:row>
      <xdr:rowOff>136071</xdr:rowOff>
    </xdr:to>
    <xdr:pic>
      <xdr:nvPicPr>
        <xdr:cNvPr id="2" name="Picture 468" descr="Equat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13763625"/>
          <a:ext cx="1762125" cy="62184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240927</xdr:colOff>
      <xdr:row>59</xdr:row>
      <xdr:rowOff>130467</xdr:rowOff>
    </xdr:from>
    <xdr:to>
      <xdr:col>35</xdr:col>
      <xdr:colOff>554692</xdr:colOff>
      <xdr:row>93</xdr:row>
      <xdr:rowOff>85645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40820</xdr:colOff>
      <xdr:row>37</xdr:row>
      <xdr:rowOff>149678</xdr:rowOff>
    </xdr:from>
    <xdr:to>
      <xdr:col>10</xdr:col>
      <xdr:colOff>285750</xdr:colOff>
      <xdr:row>56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0</xdr:colOff>
      <xdr:row>85</xdr:row>
      <xdr:rowOff>0</xdr:rowOff>
    </xdr:from>
    <xdr:to>
      <xdr:col>7</xdr:col>
      <xdr:colOff>542925</xdr:colOff>
      <xdr:row>88</xdr:row>
      <xdr:rowOff>95249</xdr:rowOff>
    </xdr:to>
    <xdr:pic>
      <xdr:nvPicPr>
        <xdr:cNvPr id="4" name="Picture 468" descr="Equatio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67350" y="16630650"/>
          <a:ext cx="2676525" cy="6381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240927</xdr:colOff>
      <xdr:row>59</xdr:row>
      <xdr:rowOff>130467</xdr:rowOff>
    </xdr:from>
    <xdr:to>
      <xdr:col>35</xdr:col>
      <xdr:colOff>554692</xdr:colOff>
      <xdr:row>93</xdr:row>
      <xdr:rowOff>85645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1523998</xdr:colOff>
      <xdr:row>37</xdr:row>
      <xdr:rowOff>149678</xdr:rowOff>
    </xdr:from>
    <xdr:to>
      <xdr:col>10</xdr:col>
      <xdr:colOff>244928</xdr:colOff>
      <xdr:row>56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0</xdr:colOff>
      <xdr:row>85</xdr:row>
      <xdr:rowOff>0</xdr:rowOff>
    </xdr:from>
    <xdr:to>
      <xdr:col>7</xdr:col>
      <xdr:colOff>542925</xdr:colOff>
      <xdr:row>88</xdr:row>
      <xdr:rowOff>95249</xdr:rowOff>
    </xdr:to>
    <xdr:pic>
      <xdr:nvPicPr>
        <xdr:cNvPr id="9684" name="Picture 468" descr="Equatio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67350" y="16630650"/>
          <a:ext cx="2676525" cy="6381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%20Research/Summer%202012%20-%20CT%20Research/CAS%20Seminar/2/Method%202%20-%20Hudson%20Re%20Analysis%203Q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Castlewood/FY%202011/River%20Thames/September/3%20Analysis/Other/ONM_ILU_Other%2009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renden/Downloads/CLRS%20presentation%20-%20Method%203%20-%20Recursiv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_fta_us\ADMIN\Documents%20and%20Settings\diamach\Clients\Castlewood\River%20Thames%20Dec%202002\EY%20Analysis\Latent%20Claims\1%20ONM-ILU-All-Lat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EY%20Bermuda/CEAI%20Brittany%20Sep%202000/EY%20Analysis/Brittany/CEAI%20Weavers%20Mar2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Castlewood/FY%202009/Hudson/September/3%20Analysis/Hudson%20Latent%203Q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Q2010 Summary"/>
      <sheetName val="All Other Exh 1"/>
      <sheetName val="All Other Exh 2"/>
      <sheetName val="RAA Benchmarks"/>
      <sheetName val="END"/>
      <sheetName val="Control"/>
      <sheetName val="Detail Statistics"/>
      <sheetName val="Total Incurred"/>
    </sheetNames>
    <sheetDataSet>
      <sheetData sheetId="0">
        <row r="5">
          <cell r="A5" t="str">
            <v>Evaluated as of September 30, 2010</v>
          </cell>
        </row>
      </sheetData>
      <sheetData sheetId="1"/>
      <sheetData sheetId="2"/>
      <sheetData sheetId="3"/>
      <sheetData sheetId="4"/>
      <sheetData sheetId="5">
        <row r="5">
          <cell r="B5">
            <v>40451</v>
          </cell>
          <cell r="E5">
            <v>2010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Sheet"/>
      <sheetName val="Control"/>
      <sheetName val="Adjustments"/>
      <sheetName val="START"/>
      <sheetName val="Exhibit 1"/>
      <sheetName val="Exhibit 2"/>
      <sheetName val="Exhibit 3"/>
      <sheetName val="Exhibit 4.1"/>
      <sheetName val="Exhibit 4.2"/>
      <sheetName val="Exhibit 4.3"/>
      <sheetName val="Exhibit 5.1"/>
      <sheetName val="Exhibit 5.2"/>
      <sheetName val="Exhibit 5.3"/>
      <sheetName val="END"/>
      <sheetName val="Paid"/>
      <sheetName val="Incurred"/>
      <sheetName val="Incurred_for_AvE"/>
      <sheetName val="ONM_ILU_Other 0910"/>
    </sheetNames>
    <sheetDataSet>
      <sheetData sheetId="0"/>
      <sheetData sheetId="1">
        <row r="11">
          <cell r="B11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 Summary"/>
      <sheetName val="revised Method 1.1"/>
      <sheetName val="revised Method 1.2"/>
      <sheetName val="Method 1"/>
      <sheetName val="Method 1(2)"/>
      <sheetName val="Method 1(3)-PPT"/>
      <sheetName val="Incremental Loss Dev"/>
      <sheetName val="OLR Runoff"/>
      <sheetName val="OLR Runoff 2"/>
      <sheetName val="Recursive Method"/>
      <sheetName val="Curve Fitting"/>
    </sheetNames>
    <sheetDataSet>
      <sheetData sheetId="0" refreshError="1"/>
      <sheetData sheetId="1" refreshError="1"/>
      <sheetData sheetId="2" refreshError="1">
        <row r="2">
          <cell r="B2">
            <v>2010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s"/>
      <sheetName val="Inwards"/>
      <sheetName val="Outwards"/>
      <sheetName val="Parms"/>
      <sheetName val="Exhibit 1"/>
      <sheetName val="Exhibit 2, Page 1"/>
      <sheetName val="Exhibit 2, Page 2"/>
      <sheetName val="Exhibit 3, Page 1"/>
      <sheetName val="Exhibit 3, Page 2"/>
      <sheetName val="Exhibit 4, Page 1"/>
      <sheetName val="Exhibit 4, Page 2"/>
      <sheetName val="Exhibit 5, Page 1"/>
      <sheetName val="Exhibit 5, Page 2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River Thames</v>
          </cell>
        </row>
        <row r="10">
          <cell r="B10" t="str">
            <v>Major Account: ONM; Account: ILU; Class: All; Cause of Loss: Latent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Weavers summ"/>
      <sheetName val="Weavers disc"/>
      <sheetName val="Weavers nom"/>
      <sheetName val="HS Weavers OS"/>
      <sheetName val="Net"/>
      <sheetName val="Gross"/>
      <sheetName val="HS-MM Paid"/>
      <sheetName val="HS-MM Rept"/>
      <sheetName val="mm-graph"/>
      <sheetName val="mm-graph2"/>
      <sheetName val="HS-PL Paid"/>
      <sheetName val="HS-PL Rept"/>
      <sheetName val="pl-graph"/>
      <sheetName val="pl-graph2"/>
      <sheetName val="HS-OC Paid"/>
      <sheetName val="HS-OC Rept"/>
      <sheetName val="oc-graph(pd)"/>
      <sheetName val="oc-graph(incd)"/>
      <sheetName val="HS Asb Exh"/>
      <sheetName val="HS-Asbestos"/>
      <sheetName val="Asblosses"/>
      <sheetName val="Asbpivot"/>
      <sheetName val="AsbQuery"/>
      <sheetName val="Poll Benchmarks"/>
      <sheetName val="HS-Envir"/>
      <sheetName val="Poll IBNR"/>
      <sheetName val="Poll Case"/>
      <sheetName val="Poll Pd and Incd"/>
      <sheetName val="Poll Baltica"/>
      <sheetName val="HS-HeaHaz Exh"/>
      <sheetName val="HS-Hea Haz"/>
      <sheetName val="HHaz 6-30-99"/>
      <sheetName val="HHaz Devt to 1q00"/>
      <sheetName val="HHaz pivot"/>
      <sheetName val="HH Disc"/>
      <sheetName val="HS-Prop"/>
      <sheetName val="HS-Reins"/>
      <sheetName val="HS-RE Paid"/>
      <sheetName val="HS-RE Rept"/>
      <sheetName val="re-graph"/>
      <sheetName val="re-graph2"/>
      <sheetName val="Discounting"/>
      <sheetName val="Back Fill - MM"/>
      <sheetName val="Back Fill - PL"/>
      <sheetName val="Back Fill - OC"/>
      <sheetName val="Piv Gross"/>
      <sheetName val="Print Pa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atent Claims"/>
      <sheetName val="Asbestos 1"/>
      <sheetName val="Pollution 1"/>
      <sheetName val="Asbestos"/>
      <sheetName val="Pollution"/>
      <sheetName val="AsbDisc"/>
      <sheetName val="PolDisc"/>
      <sheetName val="Metrics-Summary"/>
      <sheetName val="Metrics-Mvt"/>
      <sheetName val="Asb Dec Adj"/>
      <sheetName val="Asb Sch P Adj"/>
      <sheetName val="Pol Sch P Adj"/>
      <sheetName val="Best vs SchP"/>
    </sheetNames>
    <sheetDataSet>
      <sheetData sheetId="0"/>
      <sheetData sheetId="1"/>
      <sheetData sheetId="2"/>
      <sheetData sheetId="3">
        <row r="1">
          <cell r="A1" t="str">
            <v>Hudson Reinsurance Company</v>
          </cell>
        </row>
        <row r="2">
          <cell r="A2" t="str">
            <v>Reserve Review as of  September 30, 2007</v>
          </cell>
        </row>
        <row r="3">
          <cell r="A3" t="str">
            <v>Latent Claims Analysis</v>
          </cell>
        </row>
        <row r="5">
          <cell r="A5" t="str">
            <v>Summary of Reserves - Pollution</v>
          </cell>
        </row>
        <row r="9">
          <cell r="D9" t="str">
            <v>Low</v>
          </cell>
          <cell r="E9" t="str">
            <v>Selected</v>
          </cell>
        </row>
        <row r="11">
          <cell r="A11" t="str">
            <v>(1)</v>
          </cell>
          <cell r="B11" t="str">
            <v>Incurred Losses</v>
          </cell>
          <cell r="D11">
            <v>5576038.4799999995</v>
          </cell>
          <cell r="E11">
            <v>5576038.4799999995</v>
          </cell>
        </row>
        <row r="12">
          <cell r="A12" t="str">
            <v>(2)</v>
          </cell>
          <cell r="B12" t="str">
            <v>Paid Losses</v>
          </cell>
          <cell r="D12">
            <v>4135547.22</v>
          </cell>
          <cell r="E12">
            <v>4135547.22</v>
          </cell>
        </row>
        <row r="13">
          <cell r="A13" t="str">
            <v>(3)</v>
          </cell>
          <cell r="B13" t="str">
            <v>Total Reserve</v>
          </cell>
          <cell r="C13" t="str">
            <v>Exhibit 4.2</v>
          </cell>
          <cell r="D13">
            <v>1800000</v>
          </cell>
          <cell r="E13">
            <v>2300000</v>
          </cell>
        </row>
        <row r="14">
          <cell r="A14" t="str">
            <v>(4)</v>
          </cell>
          <cell r="B14" t="str">
            <v>Case Reserve</v>
          </cell>
          <cell r="C14" t="str">
            <v>(1) - (2)</v>
          </cell>
          <cell r="D14">
            <v>1440491.2599999993</v>
          </cell>
          <cell r="E14">
            <v>1440491.2599999993</v>
          </cell>
        </row>
        <row r="15">
          <cell r="A15" t="str">
            <v>(5)</v>
          </cell>
          <cell r="B15" t="str">
            <v>IBNR Reserve</v>
          </cell>
          <cell r="C15" t="str">
            <v>(3) - (4)</v>
          </cell>
          <cell r="D15">
            <v>359508.74000000069</v>
          </cell>
          <cell r="E15">
            <v>859508.74000000069</v>
          </cell>
        </row>
        <row r="17">
          <cell r="A17" t="str">
            <v>(6)</v>
          </cell>
          <cell r="B17" t="str">
            <v>Discounted Reserve</v>
          </cell>
          <cell r="C17" t="str">
            <v>(3) * Discount Factor (Exhibit 4.3)</v>
          </cell>
          <cell r="D17">
            <v>1220615.6593296826</v>
          </cell>
          <cell r="E17">
            <v>1559675.5646990389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B16"/>
  <sheetViews>
    <sheetView workbookViewId="0"/>
  </sheetViews>
  <sheetFormatPr defaultRowHeight="12.75"/>
  <cols>
    <col min="2" max="2" width="60.42578125" bestFit="1" customWidth="1"/>
  </cols>
  <sheetData>
    <row r="2" spans="1:2">
      <c r="B2" s="24" t="s">
        <v>126</v>
      </c>
    </row>
    <row r="4" spans="1:2">
      <c r="B4" s="16" t="s">
        <v>127</v>
      </c>
    </row>
    <row r="6" spans="1:2">
      <c r="A6" s="24" t="s">
        <v>210</v>
      </c>
      <c r="B6" s="15" t="s">
        <v>128</v>
      </c>
    </row>
    <row r="8" spans="1:2" ht="13.5" thickBot="1">
      <c r="B8" s="194" t="s">
        <v>209</v>
      </c>
    </row>
    <row r="9" spans="1:2" ht="13.5" thickTop="1"/>
    <row r="10" spans="1:2">
      <c r="B10" s="85" t="s">
        <v>129</v>
      </c>
    </row>
    <row r="12" spans="1:2" ht="13.5" thickBot="1">
      <c r="B12" s="90" t="s">
        <v>131</v>
      </c>
    </row>
    <row r="13" spans="1:2" ht="13.5" thickTop="1"/>
    <row r="14" spans="1:2">
      <c r="B14" s="91" t="s">
        <v>130</v>
      </c>
    </row>
    <row r="16" spans="1:2">
      <c r="B16" s="203" t="s">
        <v>215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J26"/>
  <sheetViews>
    <sheetView zoomScale="70" zoomScaleNormal="70" workbookViewId="0"/>
  </sheetViews>
  <sheetFormatPr defaultRowHeight="12.75" outlineLevelCol="1"/>
  <cols>
    <col min="1" max="1" width="13.5703125" bestFit="1" customWidth="1"/>
    <col min="2" max="2" width="22.85546875" bestFit="1" customWidth="1"/>
    <col min="3" max="4" width="14.28515625" customWidth="1"/>
    <col min="5" max="5" width="17" customWidth="1"/>
    <col min="6" max="6" width="16.42578125" customWidth="1"/>
    <col min="7" max="7" width="15.5703125" customWidth="1"/>
    <col min="8" max="14" width="14.28515625" customWidth="1"/>
    <col min="15" max="28" width="14.28515625" hidden="1" customWidth="1" outlineLevel="1"/>
    <col min="29" max="29" width="14.28515625" customWidth="1" collapsed="1"/>
    <col min="30" max="36" width="14.28515625" customWidth="1"/>
  </cols>
  <sheetData>
    <row r="1" spans="1:36" ht="63.75">
      <c r="A1" s="198" t="s">
        <v>211</v>
      </c>
    </row>
    <row r="2" spans="1:36">
      <c r="A2" s="24"/>
      <c r="B2" s="98" t="s">
        <v>132</v>
      </c>
      <c r="C2" s="39">
        <v>12</v>
      </c>
      <c r="D2" s="39">
        <f t="shared" ref="D2:AJ2" si="0">C2+12</f>
        <v>24</v>
      </c>
      <c r="E2" s="39">
        <f t="shared" si="0"/>
        <v>36</v>
      </c>
      <c r="F2" s="39">
        <f t="shared" si="0"/>
        <v>48</v>
      </c>
      <c r="G2" s="39">
        <f t="shared" si="0"/>
        <v>60</v>
      </c>
      <c r="H2" s="39">
        <f t="shared" si="0"/>
        <v>72</v>
      </c>
      <c r="I2" s="39">
        <f t="shared" si="0"/>
        <v>84</v>
      </c>
      <c r="J2" s="39">
        <f t="shared" si="0"/>
        <v>96</v>
      </c>
      <c r="K2" s="39">
        <f t="shared" si="0"/>
        <v>108</v>
      </c>
      <c r="L2" s="39">
        <f t="shared" si="0"/>
        <v>120</v>
      </c>
      <c r="M2" s="39">
        <f t="shared" si="0"/>
        <v>132</v>
      </c>
      <c r="N2" s="39">
        <f t="shared" si="0"/>
        <v>144</v>
      </c>
      <c r="O2" s="39">
        <f t="shared" si="0"/>
        <v>156</v>
      </c>
      <c r="P2" s="39">
        <f t="shared" si="0"/>
        <v>168</v>
      </c>
      <c r="Q2" s="39">
        <f t="shared" si="0"/>
        <v>180</v>
      </c>
      <c r="R2" s="39">
        <f t="shared" si="0"/>
        <v>192</v>
      </c>
      <c r="S2" s="39">
        <f t="shared" si="0"/>
        <v>204</v>
      </c>
      <c r="T2" s="39">
        <f t="shared" si="0"/>
        <v>216</v>
      </c>
      <c r="U2" s="39">
        <f t="shared" si="0"/>
        <v>228</v>
      </c>
      <c r="V2" s="39">
        <f t="shared" si="0"/>
        <v>240</v>
      </c>
      <c r="W2" s="39">
        <f t="shared" si="0"/>
        <v>252</v>
      </c>
      <c r="X2" s="39">
        <f t="shared" si="0"/>
        <v>264</v>
      </c>
      <c r="Y2" s="39">
        <f t="shared" si="0"/>
        <v>276</v>
      </c>
      <c r="Z2" s="39">
        <f t="shared" si="0"/>
        <v>288</v>
      </c>
      <c r="AA2" s="39">
        <f t="shared" si="0"/>
        <v>300</v>
      </c>
      <c r="AB2" s="39">
        <f t="shared" si="0"/>
        <v>312</v>
      </c>
      <c r="AC2" s="39">
        <f t="shared" si="0"/>
        <v>324</v>
      </c>
      <c r="AD2" s="39">
        <f t="shared" si="0"/>
        <v>336</v>
      </c>
      <c r="AE2" s="39">
        <f t="shared" si="0"/>
        <v>348</v>
      </c>
      <c r="AF2" s="39">
        <f t="shared" si="0"/>
        <v>360</v>
      </c>
      <c r="AG2" s="39">
        <f t="shared" si="0"/>
        <v>372</v>
      </c>
      <c r="AH2" s="39">
        <f t="shared" si="0"/>
        <v>384</v>
      </c>
      <c r="AI2" s="102">
        <f t="shared" si="0"/>
        <v>396</v>
      </c>
      <c r="AJ2" s="39">
        <f t="shared" si="0"/>
        <v>408</v>
      </c>
    </row>
    <row r="3" spans="1:36">
      <c r="B3" s="24" t="s">
        <v>139</v>
      </c>
    </row>
    <row r="4" spans="1:36">
      <c r="B4" s="36" t="s">
        <v>32</v>
      </c>
      <c r="C4" s="36">
        <f t="shared" ref="C4:AJ4" si="1">C2/12</f>
        <v>1</v>
      </c>
      <c r="D4" s="36">
        <f t="shared" si="1"/>
        <v>2</v>
      </c>
      <c r="E4" s="36">
        <f t="shared" si="1"/>
        <v>3</v>
      </c>
      <c r="F4" s="36">
        <f t="shared" si="1"/>
        <v>4</v>
      </c>
      <c r="G4" s="36">
        <f t="shared" si="1"/>
        <v>5</v>
      </c>
      <c r="H4" s="36">
        <f t="shared" si="1"/>
        <v>6</v>
      </c>
      <c r="I4" s="36">
        <f t="shared" si="1"/>
        <v>7</v>
      </c>
      <c r="J4" s="36">
        <f t="shared" si="1"/>
        <v>8</v>
      </c>
      <c r="K4" s="36">
        <f t="shared" si="1"/>
        <v>9</v>
      </c>
      <c r="L4" s="36">
        <f t="shared" si="1"/>
        <v>10</v>
      </c>
      <c r="M4" s="36">
        <f t="shared" si="1"/>
        <v>11</v>
      </c>
      <c r="N4" s="40">
        <f t="shared" si="1"/>
        <v>12</v>
      </c>
      <c r="O4" s="36">
        <f t="shared" si="1"/>
        <v>13</v>
      </c>
      <c r="P4" s="36">
        <f t="shared" si="1"/>
        <v>14</v>
      </c>
      <c r="Q4" s="36">
        <f t="shared" si="1"/>
        <v>15</v>
      </c>
      <c r="R4" s="36">
        <f t="shared" si="1"/>
        <v>16</v>
      </c>
      <c r="S4" s="36">
        <f t="shared" si="1"/>
        <v>17</v>
      </c>
      <c r="T4" s="36">
        <f t="shared" si="1"/>
        <v>18</v>
      </c>
      <c r="U4" s="36">
        <f t="shared" si="1"/>
        <v>19</v>
      </c>
      <c r="V4" s="36">
        <f t="shared" si="1"/>
        <v>20</v>
      </c>
      <c r="W4" s="36">
        <f t="shared" si="1"/>
        <v>21</v>
      </c>
      <c r="X4" s="36">
        <f t="shared" si="1"/>
        <v>22</v>
      </c>
      <c r="Y4" s="36">
        <f t="shared" si="1"/>
        <v>23</v>
      </c>
      <c r="Z4" s="36">
        <f t="shared" si="1"/>
        <v>24</v>
      </c>
      <c r="AA4" s="36">
        <f t="shared" si="1"/>
        <v>25</v>
      </c>
      <c r="AB4" s="36">
        <f t="shared" si="1"/>
        <v>26</v>
      </c>
      <c r="AC4" s="42">
        <f t="shared" si="1"/>
        <v>27</v>
      </c>
      <c r="AD4" s="36">
        <f t="shared" si="1"/>
        <v>28</v>
      </c>
      <c r="AE4" s="36">
        <f t="shared" si="1"/>
        <v>29</v>
      </c>
      <c r="AF4" s="36">
        <f t="shared" si="1"/>
        <v>30</v>
      </c>
      <c r="AG4" s="36">
        <f t="shared" si="1"/>
        <v>31</v>
      </c>
      <c r="AH4" s="36">
        <f t="shared" si="1"/>
        <v>32</v>
      </c>
      <c r="AI4" s="36">
        <f t="shared" si="1"/>
        <v>33</v>
      </c>
      <c r="AJ4" s="36">
        <f t="shared" si="1"/>
        <v>34</v>
      </c>
    </row>
    <row r="5" spans="1:36">
      <c r="B5" s="37" t="s">
        <v>34</v>
      </c>
      <c r="C5" s="37" t="s">
        <v>59</v>
      </c>
      <c r="D5" s="37" t="s">
        <v>60</v>
      </c>
      <c r="E5" s="37" t="s">
        <v>61</v>
      </c>
      <c r="F5" s="37" t="s">
        <v>62</v>
      </c>
      <c r="G5" s="37" t="s">
        <v>63</v>
      </c>
      <c r="H5" s="37" t="s">
        <v>64</v>
      </c>
      <c r="I5" s="37" t="s">
        <v>65</v>
      </c>
      <c r="J5" s="37" t="s">
        <v>66</v>
      </c>
      <c r="K5" s="37" t="s">
        <v>67</v>
      </c>
      <c r="L5" s="37" t="s">
        <v>68</v>
      </c>
      <c r="M5" s="37" t="s">
        <v>69</v>
      </c>
      <c r="N5" s="41" t="s">
        <v>70</v>
      </c>
      <c r="O5" s="37" t="s">
        <v>71</v>
      </c>
      <c r="P5" s="37" t="s">
        <v>72</v>
      </c>
      <c r="Q5" s="37" t="s">
        <v>73</v>
      </c>
      <c r="R5" s="37" t="s">
        <v>74</v>
      </c>
      <c r="S5" s="37" t="s">
        <v>75</v>
      </c>
      <c r="T5" s="37" t="s">
        <v>76</v>
      </c>
      <c r="U5" s="37" t="s">
        <v>77</v>
      </c>
      <c r="V5" s="37" t="s">
        <v>78</v>
      </c>
      <c r="W5" s="37" t="s">
        <v>79</v>
      </c>
      <c r="X5" s="37" t="s">
        <v>80</v>
      </c>
      <c r="Y5" s="37" t="s">
        <v>81</v>
      </c>
      <c r="Z5" s="37" t="s">
        <v>82</v>
      </c>
      <c r="AA5" s="37" t="s">
        <v>83</v>
      </c>
      <c r="AB5" s="37" t="s">
        <v>84</v>
      </c>
      <c r="AC5" s="43" t="s">
        <v>85</v>
      </c>
      <c r="AD5" s="37" t="s">
        <v>86</v>
      </c>
      <c r="AE5" s="37" t="s">
        <v>87</v>
      </c>
      <c r="AF5" s="37" t="s">
        <v>88</v>
      </c>
      <c r="AG5" s="37" t="s">
        <v>89</v>
      </c>
      <c r="AH5" s="37" t="s">
        <v>90</v>
      </c>
      <c r="AI5" t="str">
        <f>AH2&amp;" - "&amp;AI2</f>
        <v>384 - 396</v>
      </c>
      <c r="AJ5" t="str">
        <f>AI2&amp;" - "&amp;AJ2</f>
        <v>396 - 408</v>
      </c>
    </row>
    <row r="6" spans="1:36">
      <c r="B6" s="38">
        <v>1977</v>
      </c>
      <c r="C6" s="44"/>
      <c r="D6" s="44"/>
      <c r="E6" s="44"/>
      <c r="F6" s="44"/>
      <c r="G6" s="44"/>
      <c r="H6" s="44"/>
      <c r="I6" s="44"/>
      <c r="J6" s="44">
        <v>25958.466588000003</v>
      </c>
      <c r="K6" s="44">
        <v>70741.712860359985</v>
      </c>
      <c r="L6" s="44">
        <v>9522.0205391900017</v>
      </c>
      <c r="M6" s="44">
        <v>38054.070125040002</v>
      </c>
      <c r="N6" s="44">
        <v>-6616.3494627099999</v>
      </c>
      <c r="O6" s="44">
        <v>83.035720569999995</v>
      </c>
      <c r="P6" s="44">
        <v>1178.11980578</v>
      </c>
      <c r="Q6" s="44">
        <v>-338.34311543999956</v>
      </c>
      <c r="R6" s="44">
        <v>3024.4049537600004</v>
      </c>
      <c r="S6" s="44">
        <v>18538.96545887</v>
      </c>
      <c r="T6" s="44">
        <v>7568.7786477500003</v>
      </c>
      <c r="U6" s="101">
        <v>0</v>
      </c>
      <c r="V6" s="44">
        <v>281.66000000000003</v>
      </c>
      <c r="W6" s="44">
        <v>4146.76</v>
      </c>
      <c r="X6" s="44">
        <v>223.27</v>
      </c>
      <c r="Y6" s="44">
        <v>5526.682116</v>
      </c>
      <c r="Z6" s="44">
        <v>12839.1</v>
      </c>
      <c r="AA6" s="44">
        <v>361.95</v>
      </c>
      <c r="AB6" s="101">
        <v>0</v>
      </c>
      <c r="AC6" s="44">
        <v>-800.28</v>
      </c>
      <c r="AD6" s="44">
        <v>1498.33</v>
      </c>
      <c r="AE6" s="101">
        <v>0</v>
      </c>
      <c r="AF6" s="44">
        <v>412.40000000000003</v>
      </c>
      <c r="AG6" s="44">
        <v>1376.06</v>
      </c>
      <c r="AH6" s="44">
        <v>397.05</v>
      </c>
      <c r="AI6" s="101">
        <v>0</v>
      </c>
      <c r="AJ6" s="101">
        <v>0</v>
      </c>
    </row>
    <row r="7" spans="1:36">
      <c r="B7" s="38">
        <v>1978</v>
      </c>
      <c r="C7" s="44"/>
      <c r="D7" s="44"/>
      <c r="E7" s="44"/>
      <c r="F7" s="44"/>
      <c r="G7" s="44"/>
      <c r="H7" s="44"/>
      <c r="I7" s="44">
        <v>39942.789184000001</v>
      </c>
      <c r="J7" s="44">
        <v>49405.067919059999</v>
      </c>
      <c r="K7" s="44">
        <v>26718.430744640002</v>
      </c>
      <c r="L7" s="44">
        <v>14275.040089630002</v>
      </c>
      <c r="M7" s="44">
        <v>9231.0514013299999</v>
      </c>
      <c r="N7" s="44">
        <v>9525.36466458</v>
      </c>
      <c r="O7" s="44">
        <v>6328.7045940799999</v>
      </c>
      <c r="P7" s="44">
        <v>31419.284552519992</v>
      </c>
      <c r="Q7" s="44">
        <v>25578.660214180003</v>
      </c>
      <c r="R7" s="44">
        <v>66980.891428739997</v>
      </c>
      <c r="S7" s="44">
        <v>-996.05798885999991</v>
      </c>
      <c r="T7" s="44">
        <v>4895.6499999999996</v>
      </c>
      <c r="U7" s="44">
        <v>1277.0900000000001</v>
      </c>
      <c r="V7" s="44">
        <v>1823.3000000000002</v>
      </c>
      <c r="W7" s="44">
        <v>3821.8300000000004</v>
      </c>
      <c r="X7" s="44">
        <v>8821.880000000001</v>
      </c>
      <c r="Y7" s="44">
        <v>13269.02</v>
      </c>
      <c r="Z7" s="44">
        <v>390.68</v>
      </c>
      <c r="AA7" s="44">
        <v>2124.75</v>
      </c>
      <c r="AB7" s="44">
        <v>1609.52</v>
      </c>
      <c r="AC7" s="44">
        <v>1312.07</v>
      </c>
      <c r="AD7" s="44">
        <v>157.82</v>
      </c>
      <c r="AE7" s="44">
        <v>324.75</v>
      </c>
      <c r="AF7" s="44">
        <v>1015.75</v>
      </c>
      <c r="AG7" s="101">
        <v>0</v>
      </c>
      <c r="AH7" s="44">
        <v>8340.68</v>
      </c>
      <c r="AI7" s="101">
        <v>0</v>
      </c>
      <c r="AJ7" s="16"/>
    </row>
    <row r="8" spans="1:36">
      <c r="B8" s="38">
        <v>1979</v>
      </c>
      <c r="C8" s="44"/>
      <c r="D8" s="44"/>
      <c r="E8" s="44"/>
      <c r="F8" s="44"/>
      <c r="G8" s="44"/>
      <c r="H8" s="44">
        <v>396576.00886000018</v>
      </c>
      <c r="I8" s="44">
        <v>463453.66061707994</v>
      </c>
      <c r="J8" s="44">
        <v>412533.79937289003</v>
      </c>
      <c r="K8" s="44">
        <v>170471.03841019998</v>
      </c>
      <c r="L8" s="44">
        <v>-5590.03656873</v>
      </c>
      <c r="M8" s="44">
        <v>78228.262374179991</v>
      </c>
      <c r="N8" s="44">
        <v>38199.943736580004</v>
      </c>
      <c r="O8" s="44">
        <v>20668.110853520033</v>
      </c>
      <c r="P8" s="44">
        <v>25424.877621</v>
      </c>
      <c r="Q8" s="44">
        <v>15811.73632648983</v>
      </c>
      <c r="R8" s="44">
        <v>27769.993707999998</v>
      </c>
      <c r="S8" s="44">
        <v>4455.1571919999988</v>
      </c>
      <c r="T8" s="44">
        <v>1314.359168</v>
      </c>
      <c r="U8" s="44">
        <v>8334.3255919999992</v>
      </c>
      <c r="V8" s="44">
        <v>43122.190208</v>
      </c>
      <c r="W8" s="44">
        <v>72033.593556259992</v>
      </c>
      <c r="X8" s="44">
        <v>44130.543680000002</v>
      </c>
      <c r="Y8" s="44">
        <v>1394.3600000000001</v>
      </c>
      <c r="Z8" s="44">
        <v>2681.5600000000009</v>
      </c>
      <c r="AA8" s="44">
        <v>296907.07</v>
      </c>
      <c r="AB8" s="44">
        <v>1498.9700000000003</v>
      </c>
      <c r="AC8" s="101">
        <v>0</v>
      </c>
      <c r="AD8" s="44">
        <v>356.78000000000003</v>
      </c>
      <c r="AE8" s="44">
        <v>237.9</v>
      </c>
      <c r="AF8" s="44">
        <v>261</v>
      </c>
      <c r="AG8" s="44">
        <v>1905.21</v>
      </c>
      <c r="AH8" s="44">
        <v>163.72999999999999</v>
      </c>
      <c r="AI8" s="16"/>
      <c r="AJ8" s="16"/>
    </row>
    <row r="9" spans="1:36">
      <c r="B9" s="38">
        <v>1980</v>
      </c>
      <c r="C9" s="44"/>
      <c r="D9" s="44"/>
      <c r="E9" s="44"/>
      <c r="F9" s="44"/>
      <c r="G9" s="44">
        <v>2119519.2726120008</v>
      </c>
      <c r="H9" s="44">
        <v>599167.06794200989</v>
      </c>
      <c r="I9" s="44">
        <v>470831.69980148983</v>
      </c>
      <c r="J9" s="44">
        <v>607815.94928881014</v>
      </c>
      <c r="K9" s="44">
        <v>210732.35475260002</v>
      </c>
      <c r="L9" s="44">
        <v>261900.99429967001</v>
      </c>
      <c r="M9" s="44">
        <v>268911.66736228997</v>
      </c>
      <c r="N9" s="44">
        <v>211724.07816141029</v>
      </c>
      <c r="O9" s="44">
        <v>136856.33512102001</v>
      </c>
      <c r="P9" s="44">
        <v>104303.78833533009</v>
      </c>
      <c r="Q9" s="44">
        <v>-15091.893056000001</v>
      </c>
      <c r="R9" s="44">
        <v>58183.908743929998</v>
      </c>
      <c r="S9" s="44">
        <v>10810.611479999998</v>
      </c>
      <c r="T9" s="44">
        <v>37712.857725540001</v>
      </c>
      <c r="U9" s="44">
        <v>25006.023340019994</v>
      </c>
      <c r="V9" s="44">
        <v>143709.35106800002</v>
      </c>
      <c r="W9" s="44">
        <v>123076.01839702</v>
      </c>
      <c r="X9" s="44">
        <v>8765.0229360000012</v>
      </c>
      <c r="Y9" s="44">
        <v>5126.0386407699998</v>
      </c>
      <c r="Z9" s="44">
        <v>15194.978021429999</v>
      </c>
      <c r="AA9" s="44">
        <v>13316.38</v>
      </c>
      <c r="AB9" s="44">
        <v>17777.926176000001</v>
      </c>
      <c r="AC9" s="44">
        <v>59253.953732839997</v>
      </c>
      <c r="AD9" s="44">
        <v>202.69</v>
      </c>
      <c r="AE9" s="44">
        <v>-66.849999999999994</v>
      </c>
      <c r="AF9" s="44">
        <v>5592.2111999999997</v>
      </c>
      <c r="AG9" s="101">
        <v>0</v>
      </c>
      <c r="AH9" s="44"/>
      <c r="AI9" s="16"/>
      <c r="AJ9" s="16"/>
    </row>
    <row r="10" spans="1:36">
      <c r="B10" s="38">
        <v>1981</v>
      </c>
      <c r="C10" s="44"/>
      <c r="D10" s="44"/>
      <c r="E10" s="44"/>
      <c r="F10" s="44">
        <v>1853180.8000319984</v>
      </c>
      <c r="G10" s="44">
        <v>353677.30518824002</v>
      </c>
      <c r="H10" s="44">
        <v>255193.49106675995</v>
      </c>
      <c r="I10" s="44">
        <v>347415.07489795005</v>
      </c>
      <c r="J10" s="44">
        <v>212864.45287846006</v>
      </c>
      <c r="K10" s="44">
        <v>160555.23679576002</v>
      </c>
      <c r="L10" s="44">
        <v>110486.20996594001</v>
      </c>
      <c r="M10" s="44">
        <v>46872.610183880111</v>
      </c>
      <c r="N10" s="44">
        <v>110520.72228587999</v>
      </c>
      <c r="O10" s="44">
        <v>403956.98874358996</v>
      </c>
      <c r="P10" s="44">
        <v>85498.584541439996</v>
      </c>
      <c r="Q10" s="44">
        <v>16801.794507999999</v>
      </c>
      <c r="R10" s="44">
        <v>49617.503048020008</v>
      </c>
      <c r="S10" s="44">
        <v>4482.0897752600004</v>
      </c>
      <c r="T10" s="44">
        <v>31896.650280000002</v>
      </c>
      <c r="U10" s="44">
        <v>12794.173488</v>
      </c>
      <c r="V10" s="44">
        <v>40958.408547999999</v>
      </c>
      <c r="W10" s="44">
        <v>9688.1178049800001</v>
      </c>
      <c r="X10" s="44">
        <v>-2167.9788320000007</v>
      </c>
      <c r="Y10" s="44">
        <v>62003.764272</v>
      </c>
      <c r="Z10" s="44">
        <v>3070.3199999999997</v>
      </c>
      <c r="AA10" s="44">
        <v>11719.8</v>
      </c>
      <c r="AB10" s="44">
        <v>1433.9644479999997</v>
      </c>
      <c r="AC10" s="44">
        <v>-215.39975999999996</v>
      </c>
      <c r="AD10" s="44">
        <v>6384.11162358</v>
      </c>
      <c r="AE10" s="44">
        <v>14088.451971999999</v>
      </c>
      <c r="AF10" s="44">
        <v>36565.800000000003</v>
      </c>
      <c r="AG10" s="44"/>
      <c r="AH10" s="44"/>
      <c r="AI10" s="16"/>
      <c r="AJ10" s="16"/>
    </row>
    <row r="11" spans="1:36">
      <c r="B11" s="38">
        <v>1982</v>
      </c>
      <c r="C11" s="44"/>
      <c r="D11" s="44"/>
      <c r="E11" s="44">
        <v>6629406.537751996</v>
      </c>
      <c r="F11" s="44">
        <v>2529812.2842678111</v>
      </c>
      <c r="G11" s="44">
        <v>817063.66899587004</v>
      </c>
      <c r="H11" s="44">
        <v>231084.94861972</v>
      </c>
      <c r="I11" s="44">
        <v>164821.13122312998</v>
      </c>
      <c r="J11" s="44">
        <v>327229.64452118997</v>
      </c>
      <c r="K11" s="44">
        <v>139788.76917398002</v>
      </c>
      <c r="L11" s="44">
        <v>224155.59991710022</v>
      </c>
      <c r="M11" s="44">
        <v>339670.48913946998</v>
      </c>
      <c r="N11" s="44">
        <v>543736.22912886017</v>
      </c>
      <c r="O11" s="44">
        <v>9665.8420320099995</v>
      </c>
      <c r="P11" s="44">
        <v>92425.242379999967</v>
      </c>
      <c r="Q11" s="44">
        <v>19073.354061670001</v>
      </c>
      <c r="R11" s="44">
        <v>21356.050947109998</v>
      </c>
      <c r="S11" s="44">
        <v>16996.404624000003</v>
      </c>
      <c r="T11" s="44">
        <v>24512.264932810001</v>
      </c>
      <c r="U11" s="44">
        <v>23709.127012000001</v>
      </c>
      <c r="V11" s="44">
        <v>6374.76</v>
      </c>
      <c r="W11" s="44">
        <v>4046.8293760000001</v>
      </c>
      <c r="X11" s="44">
        <v>18963.849999999999</v>
      </c>
      <c r="Y11" s="44">
        <v>21676.795355999999</v>
      </c>
      <c r="Z11" s="44">
        <v>193.55999999999997</v>
      </c>
      <c r="AA11" s="44">
        <v>2730.6645399999998</v>
      </c>
      <c r="AB11" s="44">
        <v>1324.8020840000001</v>
      </c>
      <c r="AC11" s="44">
        <v>28331.41</v>
      </c>
      <c r="AD11" s="44">
        <v>3307.4991697400001</v>
      </c>
      <c r="AE11" s="44">
        <v>12609.93</v>
      </c>
      <c r="AF11" s="44"/>
      <c r="AG11" s="44"/>
      <c r="AH11" s="44"/>
      <c r="AI11" s="16"/>
      <c r="AJ11" s="16"/>
    </row>
    <row r="12" spans="1:36">
      <c r="B12" s="38">
        <v>1983</v>
      </c>
      <c r="C12" s="44"/>
      <c r="D12" s="44">
        <v>13226960.06244</v>
      </c>
      <c r="E12" s="44">
        <v>7513543.77302643</v>
      </c>
      <c r="F12" s="44">
        <v>4288372.8428893797</v>
      </c>
      <c r="G12" s="44">
        <v>1633024.9782040003</v>
      </c>
      <c r="H12" s="44">
        <v>861325.76391876</v>
      </c>
      <c r="I12" s="44">
        <v>464351.84946131991</v>
      </c>
      <c r="J12" s="44">
        <v>883150.8447140099</v>
      </c>
      <c r="K12" s="44">
        <v>823479.02150721895</v>
      </c>
      <c r="L12" s="44">
        <v>486502.16207326</v>
      </c>
      <c r="M12" s="44">
        <v>1485546.1940757304</v>
      </c>
      <c r="N12" s="44">
        <v>79531.504789290018</v>
      </c>
      <c r="O12" s="44">
        <v>980432.46065946994</v>
      </c>
      <c r="P12" s="44">
        <v>139483.77390926998</v>
      </c>
      <c r="Q12" s="44">
        <v>12359.248297019973</v>
      </c>
      <c r="R12" s="44">
        <v>260428.175032</v>
      </c>
      <c r="S12" s="44">
        <v>149208.95111855003</v>
      </c>
      <c r="T12" s="44">
        <v>26953.32273955</v>
      </c>
      <c r="U12" s="44">
        <v>43225.500184000004</v>
      </c>
      <c r="V12" s="44">
        <v>5325.0975999999982</v>
      </c>
      <c r="W12" s="44">
        <v>16292.46521093</v>
      </c>
      <c r="X12" s="44">
        <v>5142.0982224300005</v>
      </c>
      <c r="Y12" s="44">
        <v>-19831.631704050003</v>
      </c>
      <c r="Z12" s="44">
        <v>4403.1499999999996</v>
      </c>
      <c r="AA12" s="44">
        <v>1077.1230755800002</v>
      </c>
      <c r="AB12" s="44">
        <v>3230.01</v>
      </c>
      <c r="AC12" s="44">
        <v>6556.4500000000007</v>
      </c>
      <c r="AD12" s="44">
        <v>1862.8058719999999</v>
      </c>
      <c r="AE12" s="44"/>
      <c r="AF12" s="44"/>
      <c r="AG12" s="44"/>
      <c r="AH12" s="44"/>
      <c r="AI12" s="16"/>
      <c r="AJ12" s="16"/>
    </row>
    <row r="13" spans="1:36">
      <c r="B13" s="38">
        <v>1984</v>
      </c>
      <c r="C13" s="44">
        <v>2505455.6383440001</v>
      </c>
      <c r="D13" s="44">
        <v>5716127.175307788</v>
      </c>
      <c r="E13" s="44">
        <v>3606239.3413733905</v>
      </c>
      <c r="F13" s="44">
        <v>1395941.4621467798</v>
      </c>
      <c r="G13" s="44">
        <v>381977.65193457995</v>
      </c>
      <c r="H13" s="44">
        <v>242356.07832457003</v>
      </c>
      <c r="I13" s="44">
        <v>326473.02250442997</v>
      </c>
      <c r="J13" s="44">
        <v>221810.09642533015</v>
      </c>
      <c r="K13" s="44">
        <v>313782.24966163008</v>
      </c>
      <c r="L13" s="44">
        <v>215799.26412193</v>
      </c>
      <c r="M13" s="44">
        <v>138558.09961200002</v>
      </c>
      <c r="N13" s="44">
        <v>30104.51182</v>
      </c>
      <c r="O13" s="44">
        <v>47487.934436000003</v>
      </c>
      <c r="P13" s="44">
        <v>3211.4532160000008</v>
      </c>
      <c r="Q13" s="44">
        <v>121056.89447599999</v>
      </c>
      <c r="R13" s="44">
        <v>24777.704732000002</v>
      </c>
      <c r="S13" s="44">
        <v>7374.8200000000006</v>
      </c>
      <c r="T13" s="44">
        <v>8664.0132840000006</v>
      </c>
      <c r="U13" s="44">
        <v>17987.040432000002</v>
      </c>
      <c r="V13" s="44">
        <v>5687.9225496400004</v>
      </c>
      <c r="W13" s="44">
        <v>-1550.1265398399999</v>
      </c>
      <c r="X13" s="44">
        <v>4411.7477199999994</v>
      </c>
      <c r="Y13" s="44">
        <v>16461</v>
      </c>
      <c r="Z13" s="44">
        <v>6064.5199999999995</v>
      </c>
      <c r="AA13" s="44">
        <v>10913.61</v>
      </c>
      <c r="AB13" s="44">
        <v>2786.73</v>
      </c>
      <c r="AC13" s="44">
        <v>2035.9</v>
      </c>
      <c r="AD13" s="44"/>
      <c r="AE13" s="44"/>
      <c r="AF13" s="44"/>
      <c r="AG13" s="44"/>
      <c r="AH13" s="44"/>
      <c r="AI13" s="16"/>
      <c r="AJ13" s="16"/>
    </row>
    <row r="25" ht="3" customHeight="1"/>
    <row r="26" ht="3.75" customHeight="1"/>
  </sheetData>
  <conditionalFormatting sqref="D6:AH13 C4:C13 C2 AI6:AI7 AJ6 D4:AJ4">
    <cfRule type="cellIs" dxfId="6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J134"/>
  <sheetViews>
    <sheetView zoomScale="70" zoomScaleNormal="70" workbookViewId="0"/>
  </sheetViews>
  <sheetFormatPr defaultRowHeight="12.75" outlineLevelCol="1"/>
  <cols>
    <col min="1" max="1" width="13.5703125" bestFit="1" customWidth="1"/>
    <col min="2" max="2" width="22.85546875" bestFit="1" customWidth="1"/>
    <col min="3" max="4" width="14.28515625" customWidth="1"/>
    <col min="5" max="5" width="17" customWidth="1"/>
    <col min="6" max="6" width="16.42578125" customWidth="1"/>
    <col min="7" max="7" width="15.5703125" customWidth="1"/>
    <col min="8" max="14" width="14.28515625" customWidth="1"/>
    <col min="15" max="28" width="14.28515625" hidden="1" customWidth="1" outlineLevel="1"/>
    <col min="29" max="29" width="14.28515625" customWidth="1" collapsed="1"/>
    <col min="30" max="36" width="14.28515625" customWidth="1"/>
  </cols>
  <sheetData>
    <row r="1" spans="1:36" ht="63.75">
      <c r="A1" s="198" t="s">
        <v>211</v>
      </c>
    </row>
    <row r="2" spans="1:36">
      <c r="A2" s="24"/>
      <c r="B2" s="98" t="s">
        <v>132</v>
      </c>
      <c r="C2" s="39">
        <v>12</v>
      </c>
      <c r="D2" s="39">
        <f t="shared" ref="D2:AJ2" si="0">C2+12</f>
        <v>24</v>
      </c>
      <c r="E2" s="39">
        <f t="shared" si="0"/>
        <v>36</v>
      </c>
      <c r="F2" s="39">
        <f t="shared" si="0"/>
        <v>48</v>
      </c>
      <c r="G2" s="39">
        <f t="shared" si="0"/>
        <v>60</v>
      </c>
      <c r="H2" s="39">
        <f t="shared" si="0"/>
        <v>72</v>
      </c>
      <c r="I2" s="39">
        <f>H2+12</f>
        <v>84</v>
      </c>
      <c r="J2" s="39">
        <f t="shared" si="0"/>
        <v>96</v>
      </c>
      <c r="K2" s="39">
        <f t="shared" si="0"/>
        <v>108</v>
      </c>
      <c r="L2" s="39">
        <f t="shared" si="0"/>
        <v>120</v>
      </c>
      <c r="M2" s="39">
        <f t="shared" si="0"/>
        <v>132</v>
      </c>
      <c r="N2" s="39">
        <f t="shared" si="0"/>
        <v>144</v>
      </c>
      <c r="O2" s="39">
        <f t="shared" si="0"/>
        <v>156</v>
      </c>
      <c r="P2" s="39">
        <f t="shared" si="0"/>
        <v>168</v>
      </c>
      <c r="Q2" s="39">
        <f t="shared" si="0"/>
        <v>180</v>
      </c>
      <c r="R2" s="39">
        <f t="shared" si="0"/>
        <v>192</v>
      </c>
      <c r="S2" s="39">
        <f t="shared" si="0"/>
        <v>204</v>
      </c>
      <c r="T2" s="39">
        <f t="shared" si="0"/>
        <v>216</v>
      </c>
      <c r="U2" s="39">
        <f t="shared" si="0"/>
        <v>228</v>
      </c>
      <c r="V2" s="39">
        <f t="shared" si="0"/>
        <v>240</v>
      </c>
      <c r="W2" s="39">
        <f t="shared" si="0"/>
        <v>252</v>
      </c>
      <c r="X2" s="39">
        <f t="shared" si="0"/>
        <v>264</v>
      </c>
      <c r="Y2" s="39">
        <f t="shared" si="0"/>
        <v>276</v>
      </c>
      <c r="Z2" s="39">
        <f t="shared" si="0"/>
        <v>288</v>
      </c>
      <c r="AA2" s="39">
        <f t="shared" si="0"/>
        <v>300</v>
      </c>
      <c r="AB2" s="39">
        <f t="shared" si="0"/>
        <v>312</v>
      </c>
      <c r="AC2" s="39">
        <f t="shared" si="0"/>
        <v>324</v>
      </c>
      <c r="AD2" s="39">
        <f t="shared" si="0"/>
        <v>336</v>
      </c>
      <c r="AE2" s="39">
        <f t="shared" si="0"/>
        <v>348</v>
      </c>
      <c r="AF2" s="39">
        <f t="shared" si="0"/>
        <v>360</v>
      </c>
      <c r="AG2" s="39">
        <f t="shared" si="0"/>
        <v>372</v>
      </c>
      <c r="AH2" s="39">
        <f t="shared" si="0"/>
        <v>384</v>
      </c>
      <c r="AI2" s="102">
        <f t="shared" si="0"/>
        <v>396</v>
      </c>
      <c r="AJ2" s="39">
        <f t="shared" si="0"/>
        <v>408</v>
      </c>
    </row>
    <row r="3" spans="1:36">
      <c r="B3" s="24" t="s">
        <v>139</v>
      </c>
    </row>
    <row r="4" spans="1:36">
      <c r="B4" s="36" t="s">
        <v>32</v>
      </c>
      <c r="C4" s="36">
        <f t="shared" ref="C4:AJ4" si="1">C2/12</f>
        <v>1</v>
      </c>
      <c r="D4" s="36">
        <f t="shared" si="1"/>
        <v>2</v>
      </c>
      <c r="E4" s="36">
        <f t="shared" si="1"/>
        <v>3</v>
      </c>
      <c r="F4" s="36">
        <f t="shared" si="1"/>
        <v>4</v>
      </c>
      <c r="G4" s="36">
        <f t="shared" si="1"/>
        <v>5</v>
      </c>
      <c r="H4" s="36">
        <f t="shared" si="1"/>
        <v>6</v>
      </c>
      <c r="I4" s="36">
        <f t="shared" si="1"/>
        <v>7</v>
      </c>
      <c r="J4" s="36">
        <f t="shared" si="1"/>
        <v>8</v>
      </c>
      <c r="K4" s="36">
        <f t="shared" si="1"/>
        <v>9</v>
      </c>
      <c r="L4" s="36">
        <f t="shared" si="1"/>
        <v>10</v>
      </c>
      <c r="M4" s="36">
        <f t="shared" si="1"/>
        <v>11</v>
      </c>
      <c r="N4" s="40">
        <f t="shared" si="1"/>
        <v>12</v>
      </c>
      <c r="O4" s="36">
        <f t="shared" si="1"/>
        <v>13</v>
      </c>
      <c r="P4" s="36">
        <f t="shared" si="1"/>
        <v>14</v>
      </c>
      <c r="Q4" s="36">
        <f t="shared" si="1"/>
        <v>15</v>
      </c>
      <c r="R4" s="36">
        <f t="shared" si="1"/>
        <v>16</v>
      </c>
      <c r="S4" s="36">
        <f t="shared" si="1"/>
        <v>17</v>
      </c>
      <c r="T4" s="36">
        <f t="shared" si="1"/>
        <v>18</v>
      </c>
      <c r="U4" s="36">
        <f t="shared" si="1"/>
        <v>19</v>
      </c>
      <c r="V4" s="36">
        <f t="shared" si="1"/>
        <v>20</v>
      </c>
      <c r="W4" s="36">
        <f t="shared" si="1"/>
        <v>21</v>
      </c>
      <c r="X4" s="36">
        <f t="shared" si="1"/>
        <v>22</v>
      </c>
      <c r="Y4" s="36">
        <f t="shared" si="1"/>
        <v>23</v>
      </c>
      <c r="Z4" s="36">
        <f t="shared" si="1"/>
        <v>24</v>
      </c>
      <c r="AA4" s="36">
        <f t="shared" si="1"/>
        <v>25</v>
      </c>
      <c r="AB4" s="36">
        <f t="shared" si="1"/>
        <v>26</v>
      </c>
      <c r="AC4" s="42">
        <f t="shared" si="1"/>
        <v>27</v>
      </c>
      <c r="AD4" s="36">
        <f t="shared" si="1"/>
        <v>28</v>
      </c>
      <c r="AE4" s="36">
        <f t="shared" si="1"/>
        <v>29</v>
      </c>
      <c r="AF4" s="36">
        <f t="shared" si="1"/>
        <v>30</v>
      </c>
      <c r="AG4" s="36">
        <f t="shared" si="1"/>
        <v>31</v>
      </c>
      <c r="AH4" s="36">
        <f t="shared" si="1"/>
        <v>32</v>
      </c>
      <c r="AI4" s="36">
        <f t="shared" si="1"/>
        <v>33</v>
      </c>
      <c r="AJ4" s="36">
        <f t="shared" si="1"/>
        <v>34</v>
      </c>
    </row>
    <row r="5" spans="1:36">
      <c r="B5" s="37" t="s">
        <v>34</v>
      </c>
      <c r="C5" s="37" t="s">
        <v>59</v>
      </c>
      <c r="D5" s="37" t="s">
        <v>60</v>
      </c>
      <c r="E5" s="37" t="s">
        <v>61</v>
      </c>
      <c r="F5" s="37" t="s">
        <v>62</v>
      </c>
      <c r="G5" s="37" t="s">
        <v>63</v>
      </c>
      <c r="H5" s="37" t="s">
        <v>64</v>
      </c>
      <c r="I5" s="37" t="s">
        <v>65</v>
      </c>
      <c r="J5" s="37" t="s">
        <v>66</v>
      </c>
      <c r="K5" s="37" t="s">
        <v>67</v>
      </c>
      <c r="L5" s="37" t="s">
        <v>68</v>
      </c>
      <c r="M5" s="37" t="s">
        <v>69</v>
      </c>
      <c r="N5" s="41" t="s">
        <v>70</v>
      </c>
      <c r="O5" s="37" t="s">
        <v>71</v>
      </c>
      <c r="P5" s="37" t="s">
        <v>72</v>
      </c>
      <c r="Q5" s="37" t="s">
        <v>73</v>
      </c>
      <c r="R5" s="37" t="s">
        <v>74</v>
      </c>
      <c r="S5" s="37" t="s">
        <v>75</v>
      </c>
      <c r="T5" s="37" t="s">
        <v>76</v>
      </c>
      <c r="U5" s="37" t="s">
        <v>77</v>
      </c>
      <c r="V5" s="37" t="s">
        <v>78</v>
      </c>
      <c r="W5" s="37" t="s">
        <v>79</v>
      </c>
      <c r="X5" s="37" t="s">
        <v>80</v>
      </c>
      <c r="Y5" s="37" t="s">
        <v>81</v>
      </c>
      <c r="Z5" s="37" t="s">
        <v>82</v>
      </c>
      <c r="AA5" s="37" t="s">
        <v>83</v>
      </c>
      <c r="AB5" s="37" t="s">
        <v>84</v>
      </c>
      <c r="AC5" s="43" t="s">
        <v>85</v>
      </c>
      <c r="AD5" s="37" t="s">
        <v>86</v>
      </c>
      <c r="AE5" s="37" t="s">
        <v>87</v>
      </c>
      <c r="AF5" s="37" t="s">
        <v>88</v>
      </c>
      <c r="AG5" s="37" t="s">
        <v>89</v>
      </c>
      <c r="AH5" s="37" t="s">
        <v>90</v>
      </c>
      <c r="AI5" t="str">
        <f>AH2&amp;" - "&amp;AI2</f>
        <v>384 - 396</v>
      </c>
      <c r="AJ5" t="str">
        <f>AI2&amp;" - "&amp;AJ2</f>
        <v>396 - 408</v>
      </c>
    </row>
    <row r="6" spans="1:36">
      <c r="B6" s="38">
        <v>1977</v>
      </c>
      <c r="C6" s="44"/>
      <c r="D6" s="44"/>
      <c r="E6" s="44"/>
      <c r="F6" s="44"/>
      <c r="G6" s="44"/>
      <c r="H6" s="44"/>
      <c r="I6" s="44"/>
      <c r="J6" s="44">
        <v>25958.466588000003</v>
      </c>
      <c r="K6" s="44">
        <v>70741.712860359985</v>
      </c>
      <c r="L6" s="44">
        <v>9522.0205391900017</v>
      </c>
      <c r="M6" s="44">
        <v>38054.070125040002</v>
      </c>
      <c r="N6" s="44">
        <v>-6616.3494627099999</v>
      </c>
      <c r="O6" s="44">
        <v>83.035720569999995</v>
      </c>
      <c r="P6" s="44">
        <v>1178.11980578</v>
      </c>
      <c r="Q6" s="44">
        <v>-338.34311543999956</v>
      </c>
      <c r="R6" s="44">
        <v>3024.4049537600004</v>
      </c>
      <c r="S6" s="44">
        <v>18538.96545887</v>
      </c>
      <c r="T6" s="44">
        <v>7568.7786477500003</v>
      </c>
      <c r="U6" s="101">
        <v>0</v>
      </c>
      <c r="V6" s="44">
        <v>281.66000000000003</v>
      </c>
      <c r="W6" s="44">
        <v>4146.76</v>
      </c>
      <c r="X6" s="44">
        <v>223.27</v>
      </c>
      <c r="Y6" s="44">
        <v>5526.682116</v>
      </c>
      <c r="Z6" s="44">
        <v>12839.1</v>
      </c>
      <c r="AA6" s="44">
        <v>361.95</v>
      </c>
      <c r="AB6" s="101">
        <v>0</v>
      </c>
      <c r="AC6" s="44">
        <v>-800.28</v>
      </c>
      <c r="AD6" s="44">
        <v>1498.33</v>
      </c>
      <c r="AE6" s="101">
        <v>0</v>
      </c>
      <c r="AF6" s="44">
        <v>412.40000000000003</v>
      </c>
      <c r="AG6" s="44">
        <v>1376.06</v>
      </c>
      <c r="AH6" s="44">
        <v>397.05</v>
      </c>
      <c r="AI6" s="101">
        <v>0</v>
      </c>
      <c r="AJ6" s="101">
        <v>0</v>
      </c>
    </row>
    <row r="7" spans="1:36">
      <c r="B7" s="38">
        <v>1978</v>
      </c>
      <c r="C7" s="44"/>
      <c r="D7" s="44"/>
      <c r="E7" s="44"/>
      <c r="F7" s="44"/>
      <c r="G7" s="44"/>
      <c r="H7" s="44"/>
      <c r="I7" s="44">
        <v>39942.789184000001</v>
      </c>
      <c r="J7" s="44">
        <v>49405.067919059999</v>
      </c>
      <c r="K7" s="44">
        <v>26718.430744640002</v>
      </c>
      <c r="L7" s="44">
        <v>14275.040089630002</v>
      </c>
      <c r="M7" s="44">
        <v>9231.0514013299999</v>
      </c>
      <c r="N7" s="44">
        <v>9525.36466458</v>
      </c>
      <c r="O7" s="44">
        <v>6328.7045940799999</v>
      </c>
      <c r="P7" s="44">
        <v>31419.284552519992</v>
      </c>
      <c r="Q7" s="44">
        <v>25578.660214180003</v>
      </c>
      <c r="R7" s="44">
        <v>66980.891428739997</v>
      </c>
      <c r="S7" s="44">
        <v>-996.05798885999991</v>
      </c>
      <c r="T7" s="44">
        <v>4895.6499999999996</v>
      </c>
      <c r="U7" s="44">
        <v>1277.0900000000001</v>
      </c>
      <c r="V7" s="44">
        <v>1823.3000000000002</v>
      </c>
      <c r="W7" s="44">
        <v>3821.8300000000004</v>
      </c>
      <c r="X7" s="44">
        <v>8821.880000000001</v>
      </c>
      <c r="Y7" s="44">
        <v>13269.02</v>
      </c>
      <c r="Z7" s="44">
        <v>390.68</v>
      </c>
      <c r="AA7" s="44">
        <v>2124.75</v>
      </c>
      <c r="AB7" s="44">
        <v>1609.52</v>
      </c>
      <c r="AC7" s="44">
        <v>1312.07</v>
      </c>
      <c r="AD7" s="44">
        <v>157.82</v>
      </c>
      <c r="AE7" s="44">
        <v>324.75</v>
      </c>
      <c r="AF7" s="44">
        <v>1015.75</v>
      </c>
      <c r="AG7" s="101">
        <v>0</v>
      </c>
      <c r="AH7" s="44">
        <v>8340.68</v>
      </c>
      <c r="AI7" s="101">
        <v>0</v>
      </c>
      <c r="AJ7" s="16"/>
    </row>
    <row r="8" spans="1:36">
      <c r="B8" s="38">
        <v>1979</v>
      </c>
      <c r="C8" s="44"/>
      <c r="D8" s="44"/>
      <c r="E8" s="44"/>
      <c r="F8" s="44"/>
      <c r="G8" s="44"/>
      <c r="H8" s="44">
        <v>396576.00886000018</v>
      </c>
      <c r="I8" s="44">
        <v>463453.66061707994</v>
      </c>
      <c r="J8" s="44">
        <v>412533.79937289003</v>
      </c>
      <c r="K8" s="44">
        <v>170471.03841019998</v>
      </c>
      <c r="L8" s="44">
        <v>-5590.03656873</v>
      </c>
      <c r="M8" s="44">
        <v>78228.262374179991</v>
      </c>
      <c r="N8" s="44">
        <v>38199.943736580004</v>
      </c>
      <c r="O8" s="44">
        <v>20668.110853520033</v>
      </c>
      <c r="P8" s="44">
        <v>25424.877621</v>
      </c>
      <c r="Q8" s="44">
        <v>15811.73632648983</v>
      </c>
      <c r="R8" s="44">
        <v>27769.993707999998</v>
      </c>
      <c r="S8" s="44">
        <v>4455.1571919999988</v>
      </c>
      <c r="T8" s="44">
        <v>1314.359168</v>
      </c>
      <c r="U8" s="44">
        <v>8334.3255919999992</v>
      </c>
      <c r="V8" s="44">
        <v>43122.190208</v>
      </c>
      <c r="W8" s="44">
        <v>72033.593556259992</v>
      </c>
      <c r="X8" s="44">
        <v>44130.543680000002</v>
      </c>
      <c r="Y8" s="44">
        <v>1394.3600000000001</v>
      </c>
      <c r="Z8" s="44">
        <v>2681.5600000000009</v>
      </c>
      <c r="AA8" s="44">
        <v>296907.07</v>
      </c>
      <c r="AB8" s="44">
        <v>1498.9700000000003</v>
      </c>
      <c r="AC8" s="101">
        <v>0</v>
      </c>
      <c r="AD8" s="44">
        <v>356.78000000000003</v>
      </c>
      <c r="AE8" s="44">
        <v>237.9</v>
      </c>
      <c r="AF8" s="44">
        <v>261</v>
      </c>
      <c r="AG8" s="44">
        <v>1905.21</v>
      </c>
      <c r="AH8" s="44">
        <v>163.72999999999999</v>
      </c>
      <c r="AI8" s="16"/>
      <c r="AJ8" s="16"/>
    </row>
    <row r="9" spans="1:36">
      <c r="B9" s="38">
        <v>1980</v>
      </c>
      <c r="C9" s="44"/>
      <c r="D9" s="44"/>
      <c r="E9" s="44"/>
      <c r="F9" s="44"/>
      <c r="G9" s="44">
        <v>2119519.2726120008</v>
      </c>
      <c r="H9" s="44">
        <v>599167.06794200989</v>
      </c>
      <c r="I9" s="44">
        <v>470831.69980148983</v>
      </c>
      <c r="J9" s="44">
        <v>607815.94928881014</v>
      </c>
      <c r="K9" s="44">
        <v>210732.35475260002</v>
      </c>
      <c r="L9" s="44">
        <v>261900.99429967001</v>
      </c>
      <c r="M9" s="44">
        <v>268911.66736228997</v>
      </c>
      <c r="N9" s="44">
        <v>211724.07816141029</v>
      </c>
      <c r="O9" s="44">
        <v>136856.33512102001</v>
      </c>
      <c r="P9" s="44">
        <v>104303.78833533009</v>
      </c>
      <c r="Q9" s="44">
        <v>-15091.893056000001</v>
      </c>
      <c r="R9" s="44">
        <v>58183.908743929998</v>
      </c>
      <c r="S9" s="44">
        <v>10810.611479999998</v>
      </c>
      <c r="T9" s="44">
        <v>37712.857725540001</v>
      </c>
      <c r="U9" s="44">
        <v>25006.023340019994</v>
      </c>
      <c r="V9" s="44">
        <v>143709.35106800002</v>
      </c>
      <c r="W9" s="44">
        <v>123076.01839702</v>
      </c>
      <c r="X9" s="44">
        <v>8765.0229360000012</v>
      </c>
      <c r="Y9" s="44">
        <v>5126.0386407699998</v>
      </c>
      <c r="Z9" s="44">
        <v>15194.978021429999</v>
      </c>
      <c r="AA9" s="44">
        <v>13316.38</v>
      </c>
      <c r="AB9" s="44">
        <v>17777.926176000001</v>
      </c>
      <c r="AC9" s="44">
        <v>59253.953732839997</v>
      </c>
      <c r="AD9" s="44">
        <v>202.69</v>
      </c>
      <c r="AE9" s="44">
        <v>-66.849999999999994</v>
      </c>
      <c r="AF9" s="44">
        <v>5592.2111999999997</v>
      </c>
      <c r="AG9" s="101">
        <v>0</v>
      </c>
      <c r="AH9" s="44"/>
      <c r="AI9" s="16"/>
      <c r="AJ9" s="16"/>
    </row>
    <row r="10" spans="1:36">
      <c r="B10" s="38">
        <v>1981</v>
      </c>
      <c r="C10" s="44"/>
      <c r="D10" s="44"/>
      <c r="E10" s="44"/>
      <c r="F10" s="44">
        <v>1853180.8000319984</v>
      </c>
      <c r="G10" s="44">
        <v>353677.30518824002</v>
      </c>
      <c r="H10" s="44">
        <v>255193.49106675995</v>
      </c>
      <c r="I10" s="44">
        <v>347415.07489795005</v>
      </c>
      <c r="J10" s="44">
        <v>212864.45287846006</v>
      </c>
      <c r="K10" s="44">
        <v>160555.23679576002</v>
      </c>
      <c r="L10" s="44">
        <v>110486.20996594001</v>
      </c>
      <c r="M10" s="44">
        <v>46872.610183880111</v>
      </c>
      <c r="N10" s="44">
        <v>110520.72228587999</v>
      </c>
      <c r="O10" s="44">
        <v>403956.98874358996</v>
      </c>
      <c r="P10" s="44">
        <v>85498.584541439996</v>
      </c>
      <c r="Q10" s="44">
        <v>16801.794507999999</v>
      </c>
      <c r="R10" s="44">
        <v>49617.503048020008</v>
      </c>
      <c r="S10" s="44">
        <v>4482.0897752600004</v>
      </c>
      <c r="T10" s="44">
        <v>31896.650280000002</v>
      </c>
      <c r="U10" s="44">
        <v>12794.173488</v>
      </c>
      <c r="V10" s="44">
        <v>40958.408547999999</v>
      </c>
      <c r="W10" s="44">
        <v>9688.1178049800001</v>
      </c>
      <c r="X10" s="44">
        <v>-2167.9788320000007</v>
      </c>
      <c r="Y10" s="44">
        <v>62003.764272</v>
      </c>
      <c r="Z10" s="44">
        <v>3070.3199999999997</v>
      </c>
      <c r="AA10" s="44">
        <v>11719.8</v>
      </c>
      <c r="AB10" s="44">
        <v>1433.9644479999997</v>
      </c>
      <c r="AC10" s="44">
        <v>-215.39975999999996</v>
      </c>
      <c r="AD10" s="44">
        <v>6384.11162358</v>
      </c>
      <c r="AE10" s="44">
        <v>14088.451971999999</v>
      </c>
      <c r="AF10" s="44">
        <v>36565.800000000003</v>
      </c>
      <c r="AG10" s="44"/>
      <c r="AH10" s="44"/>
      <c r="AI10" s="16"/>
      <c r="AJ10" s="16"/>
    </row>
    <row r="11" spans="1:36">
      <c r="B11" s="38">
        <v>1982</v>
      </c>
      <c r="C11" s="44"/>
      <c r="D11" s="44"/>
      <c r="E11" s="44">
        <v>6629406.537751996</v>
      </c>
      <c r="F11" s="44">
        <v>2529812.2842678111</v>
      </c>
      <c r="G11" s="44">
        <v>817063.66899587004</v>
      </c>
      <c r="H11" s="44">
        <v>231084.94861972</v>
      </c>
      <c r="I11" s="44" t="s">
        <v>218</v>
      </c>
      <c r="J11" s="44">
        <v>327229.64452118997</v>
      </c>
      <c r="K11" s="44">
        <v>139788.76917398002</v>
      </c>
      <c r="L11" s="44">
        <v>224155.59991710022</v>
      </c>
      <c r="M11" s="44">
        <v>339670.48913946998</v>
      </c>
      <c r="N11" s="44">
        <v>543736.22912886017</v>
      </c>
      <c r="O11" s="44">
        <v>9665.8420320099995</v>
      </c>
      <c r="P11" s="44">
        <v>92425.242379999967</v>
      </c>
      <c r="Q11" s="44">
        <v>19073.354061670001</v>
      </c>
      <c r="R11" s="44">
        <v>21356.050947109998</v>
      </c>
      <c r="S11" s="44">
        <v>16996.404624000003</v>
      </c>
      <c r="T11" s="44">
        <v>24512.264932810001</v>
      </c>
      <c r="U11" s="44">
        <v>23709.127012000001</v>
      </c>
      <c r="V11" s="44">
        <v>6374.76</v>
      </c>
      <c r="W11" s="44">
        <v>4046.8293760000001</v>
      </c>
      <c r="X11" s="44">
        <v>18963.849999999999</v>
      </c>
      <c r="Y11" s="44">
        <v>21676.795355999999</v>
      </c>
      <c r="Z11" s="44">
        <v>193.55999999999997</v>
      </c>
      <c r="AA11" s="44">
        <v>2730.6645399999998</v>
      </c>
      <c r="AB11" s="44">
        <v>1324.8020840000001</v>
      </c>
      <c r="AC11" s="44">
        <v>28331.41</v>
      </c>
      <c r="AD11" s="44">
        <v>3307.4991697400001</v>
      </c>
      <c r="AE11" s="44">
        <v>12609.93</v>
      </c>
      <c r="AF11" s="44"/>
      <c r="AG11" s="44"/>
      <c r="AH11" s="44"/>
      <c r="AI11" s="16"/>
      <c r="AJ11" s="16"/>
    </row>
    <row r="12" spans="1:36">
      <c r="B12" s="38">
        <v>1983</v>
      </c>
      <c r="C12" s="44"/>
      <c r="D12" s="44">
        <v>13226960.06244</v>
      </c>
      <c r="E12" s="44">
        <v>7513543.77302643</v>
      </c>
      <c r="F12" s="44">
        <v>4288372.8428893797</v>
      </c>
      <c r="G12" s="44">
        <v>1633024.9782040003</v>
      </c>
      <c r="H12" s="44">
        <v>861325.76391876</v>
      </c>
      <c r="I12" s="44">
        <v>464351.84946131991</v>
      </c>
      <c r="J12" s="44">
        <v>883150.8447140099</v>
      </c>
      <c r="K12" s="44">
        <v>823479.02150721895</v>
      </c>
      <c r="L12" s="44">
        <v>486502.16207326</v>
      </c>
      <c r="M12" s="44">
        <v>1485546.1940757304</v>
      </c>
      <c r="N12" s="44">
        <v>79531.504789290018</v>
      </c>
      <c r="O12" s="44">
        <v>980432.46065946994</v>
      </c>
      <c r="P12" s="44">
        <v>139483.77390926998</v>
      </c>
      <c r="Q12" s="44">
        <v>12359.248297019973</v>
      </c>
      <c r="R12" s="44">
        <v>260428.175032</v>
      </c>
      <c r="S12" s="44">
        <v>149208.95111855003</v>
      </c>
      <c r="T12" s="44">
        <v>26953.32273955</v>
      </c>
      <c r="U12" s="44">
        <v>43225.500184000004</v>
      </c>
      <c r="V12" s="44">
        <v>5325.0975999999982</v>
      </c>
      <c r="W12" s="44">
        <v>16292.46521093</v>
      </c>
      <c r="X12" s="44">
        <v>5142.0982224300005</v>
      </c>
      <c r="Y12" s="44">
        <v>-19831.631704050003</v>
      </c>
      <c r="Z12" s="44">
        <v>4403.1499999999996</v>
      </c>
      <c r="AA12" s="44">
        <v>1077.1230755800002</v>
      </c>
      <c r="AB12" s="44">
        <v>3230.01</v>
      </c>
      <c r="AC12" s="44">
        <v>6556.4500000000007</v>
      </c>
      <c r="AD12" s="44">
        <v>1862.8058719999999</v>
      </c>
      <c r="AE12" s="44"/>
      <c r="AF12" s="44"/>
      <c r="AG12" s="44"/>
      <c r="AH12" s="44"/>
      <c r="AI12" s="16"/>
      <c r="AJ12" s="16"/>
    </row>
    <row r="13" spans="1:36">
      <c r="B13" s="38">
        <v>1984</v>
      </c>
      <c r="C13" s="44">
        <v>2505455.6383440001</v>
      </c>
      <c r="D13" s="44">
        <v>5716127.175307788</v>
      </c>
      <c r="E13" s="44">
        <v>3606239.3413733905</v>
      </c>
      <c r="F13" s="44">
        <v>1395941.4621467798</v>
      </c>
      <c r="G13" s="44">
        <v>381977.65193457995</v>
      </c>
      <c r="H13" s="44">
        <v>242356.07832457003</v>
      </c>
      <c r="I13" s="44">
        <v>326473.02250442997</v>
      </c>
      <c r="J13" s="44">
        <v>221810.09642533015</v>
      </c>
      <c r="K13" s="44">
        <v>313782.24966163008</v>
      </c>
      <c r="L13" s="44">
        <v>215799.26412193</v>
      </c>
      <c r="M13" s="44">
        <v>138558.09961200002</v>
      </c>
      <c r="N13" s="44">
        <v>30104.51182</v>
      </c>
      <c r="O13" s="44">
        <v>47487.934436000003</v>
      </c>
      <c r="P13" s="44">
        <v>3211.4532160000008</v>
      </c>
      <c r="Q13" s="44">
        <v>121056.89447599999</v>
      </c>
      <c r="R13" s="44">
        <v>24777.704732000002</v>
      </c>
      <c r="S13" s="44">
        <v>7374.8200000000006</v>
      </c>
      <c r="T13" s="44">
        <v>8664.0132840000006</v>
      </c>
      <c r="U13" s="44">
        <v>17987.040432000002</v>
      </c>
      <c r="V13" s="44">
        <v>5687.9225496400004</v>
      </c>
      <c r="W13" s="44">
        <v>-1550.1265398399999</v>
      </c>
      <c r="X13" s="44">
        <v>4411.7477199999994</v>
      </c>
      <c r="Y13" s="44">
        <v>16461</v>
      </c>
      <c r="Z13" s="44">
        <v>6064.5199999999995</v>
      </c>
      <c r="AA13" s="44">
        <v>10913.61</v>
      </c>
      <c r="AB13" s="44">
        <v>2786.73</v>
      </c>
      <c r="AC13" s="44">
        <v>2035.9</v>
      </c>
      <c r="AD13" s="44"/>
      <c r="AE13" s="44"/>
      <c r="AF13" s="44"/>
      <c r="AG13" s="44"/>
      <c r="AH13" s="44"/>
      <c r="AI13" s="16"/>
      <c r="AJ13" s="16"/>
    </row>
    <row r="14" spans="1:36">
      <c r="A14" s="24" t="s">
        <v>39</v>
      </c>
      <c r="B14" s="49" t="s">
        <v>138</v>
      </c>
    </row>
    <row r="15" spans="1:36">
      <c r="B15" s="32" t="s">
        <v>133</v>
      </c>
    </row>
    <row r="16" spans="1:36">
      <c r="B16" s="38" t="str">
        <f>B5</f>
        <v>U/W Year</v>
      </c>
      <c r="C16" s="38" t="str">
        <f t="shared" ref="C16:AI16" si="2">D5</f>
        <v>12 - 24</v>
      </c>
      <c r="D16" s="38" t="str">
        <f t="shared" si="2"/>
        <v>24 - 36</v>
      </c>
      <c r="E16" s="38" t="str">
        <f t="shared" si="2"/>
        <v>36 - 48</v>
      </c>
      <c r="F16" s="38" t="str">
        <f t="shared" si="2"/>
        <v>48 - 60</v>
      </c>
      <c r="G16" s="38" t="str">
        <f t="shared" si="2"/>
        <v>60 - 72</v>
      </c>
      <c r="H16" s="38" t="str">
        <f>I5</f>
        <v>72 - 84</v>
      </c>
      <c r="I16" s="38" t="str">
        <f t="shared" si="2"/>
        <v>84 - 96</v>
      </c>
      <c r="J16" s="38" t="str">
        <f t="shared" si="2"/>
        <v>96 - 108</v>
      </c>
      <c r="K16" s="38" t="str">
        <f t="shared" si="2"/>
        <v>108 - 120</v>
      </c>
      <c r="L16" s="38" t="str">
        <f t="shared" si="2"/>
        <v>120 - 132</v>
      </c>
      <c r="M16" s="38" t="str">
        <f t="shared" si="2"/>
        <v>132 - 144</v>
      </c>
      <c r="N16" s="38" t="str">
        <f t="shared" si="2"/>
        <v>144 - 156</v>
      </c>
      <c r="O16" s="38" t="str">
        <f t="shared" si="2"/>
        <v>156 - 168</v>
      </c>
      <c r="P16" s="38" t="str">
        <f t="shared" si="2"/>
        <v>168 - 180</v>
      </c>
      <c r="Q16" s="38" t="str">
        <f t="shared" si="2"/>
        <v>180 - 192</v>
      </c>
      <c r="R16" s="38" t="str">
        <f t="shared" si="2"/>
        <v>192 - 204</v>
      </c>
      <c r="S16" s="38" t="str">
        <f t="shared" si="2"/>
        <v>204 - 216</v>
      </c>
      <c r="T16" s="38" t="str">
        <f t="shared" si="2"/>
        <v>216 - 228</v>
      </c>
      <c r="U16" s="38" t="str">
        <f t="shared" si="2"/>
        <v>228 - 240</v>
      </c>
      <c r="V16" s="38" t="str">
        <f t="shared" si="2"/>
        <v>240 - 252</v>
      </c>
      <c r="W16" s="38" t="str">
        <f t="shared" si="2"/>
        <v>252 - 264</v>
      </c>
      <c r="X16" s="38" t="str">
        <f t="shared" si="2"/>
        <v>264 - 276</v>
      </c>
      <c r="Y16" s="38" t="str">
        <f t="shared" si="2"/>
        <v>276 - 288</v>
      </c>
      <c r="Z16" s="38" t="str">
        <f t="shared" si="2"/>
        <v>288 - 300</v>
      </c>
      <c r="AA16" s="38" t="str">
        <f t="shared" si="2"/>
        <v>300 - 312</v>
      </c>
      <c r="AB16" s="38" t="str">
        <f t="shared" si="2"/>
        <v>312 - 324</v>
      </c>
      <c r="AC16" s="38" t="str">
        <f t="shared" si="2"/>
        <v>324 - 336</v>
      </c>
      <c r="AD16" s="38" t="str">
        <f t="shared" si="2"/>
        <v>336 - 348</v>
      </c>
      <c r="AE16" s="38" t="str">
        <f t="shared" si="2"/>
        <v>348 - 360</v>
      </c>
      <c r="AF16" s="38" t="str">
        <f t="shared" si="2"/>
        <v>360 - 372</v>
      </c>
      <c r="AG16" s="38" t="str">
        <f t="shared" si="2"/>
        <v>372 - 384</v>
      </c>
      <c r="AH16" s="38" t="str">
        <f t="shared" si="2"/>
        <v>384 - 396</v>
      </c>
      <c r="AI16" s="38" t="str">
        <f t="shared" si="2"/>
        <v>396 - 408</v>
      </c>
    </row>
    <row r="17" spans="2:35">
      <c r="B17" s="38">
        <f t="shared" ref="B17:B24" si="3">B6</f>
        <v>1977</v>
      </c>
      <c r="C17" s="93"/>
      <c r="D17" s="93"/>
      <c r="E17" s="93"/>
      <c r="F17" s="93"/>
      <c r="G17" s="93"/>
      <c r="H17" s="93"/>
      <c r="I17" s="93"/>
      <c r="J17" s="93"/>
      <c r="K17" s="199">
        <f t="shared" ref="K17:K24" si="4">IF(OR(K6=0,L6=0,(COLUMN(K17)-COLUMN($A17))&gt;(2010-$A17)),"",L6/K6)</f>
        <v>0.13460262911623183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103"/>
      <c r="AI17" s="93"/>
    </row>
    <row r="18" spans="2:35">
      <c r="B18" s="38">
        <f t="shared" si="3"/>
        <v>1978</v>
      </c>
      <c r="C18" s="93"/>
      <c r="D18" s="93"/>
      <c r="E18" s="93"/>
      <c r="F18" s="93"/>
      <c r="G18" s="93"/>
      <c r="H18" s="93"/>
      <c r="I18" s="93"/>
      <c r="J18" s="93"/>
      <c r="K18" s="199">
        <f t="shared" si="4"/>
        <v>0.53427689021346159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103"/>
      <c r="AI18" s="93"/>
    </row>
    <row r="19" spans="2:35">
      <c r="B19" s="38">
        <f t="shared" si="3"/>
        <v>1979</v>
      </c>
      <c r="C19" s="93"/>
      <c r="D19" s="93"/>
      <c r="E19" s="93"/>
      <c r="F19" s="93"/>
      <c r="G19" s="93"/>
      <c r="H19" s="93"/>
      <c r="I19" s="93"/>
      <c r="J19" s="93"/>
      <c r="K19" s="199">
        <f t="shared" si="4"/>
        <v>-3.2791708321027777E-2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</row>
    <row r="20" spans="2:35">
      <c r="B20" s="38">
        <f t="shared" si="3"/>
        <v>1980</v>
      </c>
      <c r="C20" s="93"/>
      <c r="D20" s="93"/>
      <c r="E20" s="93"/>
      <c r="F20" s="93"/>
      <c r="G20" s="93"/>
      <c r="H20" s="93"/>
      <c r="I20" s="93"/>
      <c r="J20" s="93"/>
      <c r="K20" s="199">
        <f t="shared" si="4"/>
        <v>1.2428133999980309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</row>
    <row r="21" spans="2:35">
      <c r="B21" s="38">
        <f t="shared" si="3"/>
        <v>1981</v>
      </c>
      <c r="C21" s="93"/>
      <c r="D21" s="93"/>
      <c r="E21" s="93"/>
      <c r="F21" s="93"/>
      <c r="G21" s="93"/>
      <c r="H21" s="93"/>
      <c r="I21" s="93"/>
      <c r="J21" s="93"/>
      <c r="K21" s="199">
        <f t="shared" si="4"/>
        <v>0.688150770855814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</row>
    <row r="22" spans="2:35">
      <c r="B22" s="38">
        <f t="shared" si="3"/>
        <v>1982</v>
      </c>
      <c r="C22" s="93"/>
      <c r="D22" s="93"/>
      <c r="E22" s="93"/>
      <c r="F22" s="93"/>
      <c r="G22" s="93"/>
      <c r="H22" s="93"/>
      <c r="I22" s="93"/>
      <c r="J22" s="93"/>
      <c r="K22" s="199">
        <f t="shared" si="4"/>
        <v>1.6035308218367521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</row>
    <row r="23" spans="2:35">
      <c r="B23" s="38">
        <f t="shared" si="3"/>
        <v>1983</v>
      </c>
      <c r="C23" s="93"/>
      <c r="D23" s="93"/>
      <c r="E23" s="93"/>
      <c r="F23" s="93"/>
      <c r="G23" s="93"/>
      <c r="H23" s="93"/>
      <c r="I23" s="93"/>
      <c r="J23" s="93"/>
      <c r="K23" s="199">
        <f t="shared" si="4"/>
        <v>0.59078877465853585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</row>
    <row r="24" spans="2:35">
      <c r="B24" s="38">
        <f t="shared" si="3"/>
        <v>1984</v>
      </c>
      <c r="C24" s="93"/>
      <c r="D24" s="93"/>
      <c r="E24" s="93"/>
      <c r="F24" s="93"/>
      <c r="G24" s="93"/>
      <c r="H24" s="93"/>
      <c r="I24" s="93"/>
      <c r="J24" s="93"/>
      <c r="K24" s="199">
        <f t="shared" si="4"/>
        <v>0.68773572869287247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</row>
    <row r="25" spans="2:35" ht="3" customHeight="1">
      <c r="B25" s="38"/>
      <c r="K25" s="200"/>
    </row>
    <row r="26" spans="2:35" ht="3.75" customHeight="1">
      <c r="B26" s="38"/>
      <c r="K26" s="200"/>
    </row>
    <row r="27" spans="2:35">
      <c r="B27" s="45" t="s">
        <v>50</v>
      </c>
      <c r="C27" s="93"/>
      <c r="D27" s="93"/>
      <c r="E27" s="93"/>
      <c r="F27" s="93"/>
      <c r="G27" s="93"/>
      <c r="H27" s="93"/>
      <c r="I27" s="93"/>
      <c r="J27" s="93"/>
      <c r="K27" s="199">
        <f t="array" ref="K27">SUM(IF(K17:K24="",0,1)*L6:L13)/SUM(IF(K17:K24="",0,1)*K6:K13)</f>
        <v>0.68729984273611888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</row>
    <row r="28" spans="2:35">
      <c r="B28" s="46" t="s">
        <v>91</v>
      </c>
      <c r="C28" s="94"/>
      <c r="D28" s="94"/>
      <c r="E28" s="94"/>
      <c r="F28" s="94"/>
      <c r="G28" s="94"/>
      <c r="H28" s="94"/>
      <c r="I28" s="94"/>
      <c r="J28" s="94"/>
      <c r="K28" s="201">
        <f t="shared" ref="K28" si="5">AVERAGE(K17:K24)</f>
        <v>0.68113841338133396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</row>
    <row r="29" spans="2:35">
      <c r="B29" s="46" t="s">
        <v>92</v>
      </c>
      <c r="C29" s="95"/>
      <c r="D29" s="95"/>
      <c r="E29" s="95"/>
      <c r="F29" s="95"/>
      <c r="G29" s="95"/>
      <c r="H29" s="95"/>
      <c r="I29" s="95"/>
      <c r="J29" s="95"/>
      <c r="K29" s="202">
        <f t="shared" ref="K29" si="6">IFERROR((K28*COUNT(K17:K24)-MAX(K17:K24)-MIN(K17:K24))/(COUNT(K17:K24)-2),K28)</f>
        <v>0.64639469892249124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</row>
    <row r="30" spans="2:35">
      <c r="B30" s="38"/>
      <c r="K30" s="200"/>
    </row>
    <row r="31" spans="2:35">
      <c r="B31" s="47" t="s">
        <v>15</v>
      </c>
      <c r="C31" s="93"/>
      <c r="D31" s="93"/>
      <c r="E31" s="93"/>
      <c r="F31" s="93"/>
      <c r="G31" s="93"/>
      <c r="H31" s="93"/>
      <c r="I31" s="93"/>
      <c r="J31" s="93"/>
      <c r="K31" s="199">
        <f>K28</f>
        <v>0.68113841338133396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</row>
    <row r="32" spans="2:35">
      <c r="B32" s="47"/>
    </row>
    <row r="33" spans="2:35">
      <c r="B33" s="47" t="s">
        <v>140</v>
      </c>
      <c r="C33" s="16">
        <v>12</v>
      </c>
    </row>
    <row r="34" spans="2:35">
      <c r="B34" s="46" t="s">
        <v>141</v>
      </c>
      <c r="C34" s="16">
        <f>1984+27-1</f>
        <v>2010</v>
      </c>
    </row>
    <row r="35" spans="2:35">
      <c r="B35" s="38"/>
      <c r="C35" s="48">
        <f>C4+1</f>
        <v>2</v>
      </c>
      <c r="D35" s="48">
        <f t="shared" ref="D35:AI35" si="7">D4+1</f>
        <v>3</v>
      </c>
      <c r="E35" s="48">
        <f t="shared" si="7"/>
        <v>4</v>
      </c>
      <c r="F35" s="48">
        <f t="shared" si="7"/>
        <v>5</v>
      </c>
      <c r="G35" s="48">
        <f t="shared" si="7"/>
        <v>6</v>
      </c>
      <c r="H35" s="48">
        <f t="shared" si="7"/>
        <v>7</v>
      </c>
      <c r="I35" s="48">
        <f t="shared" si="7"/>
        <v>8</v>
      </c>
      <c r="J35" s="48">
        <f t="shared" si="7"/>
        <v>9</v>
      </c>
      <c r="K35" s="48">
        <f t="shared" si="7"/>
        <v>10</v>
      </c>
      <c r="L35" s="48">
        <f t="shared" si="7"/>
        <v>11</v>
      </c>
      <c r="M35" s="48">
        <f t="shared" si="7"/>
        <v>12</v>
      </c>
      <c r="N35" s="48">
        <f t="shared" si="7"/>
        <v>13</v>
      </c>
      <c r="O35" s="48">
        <f t="shared" si="7"/>
        <v>14</v>
      </c>
      <c r="P35" s="48">
        <f t="shared" si="7"/>
        <v>15</v>
      </c>
      <c r="Q35" s="48">
        <f t="shared" si="7"/>
        <v>16</v>
      </c>
      <c r="R35" s="48">
        <f t="shared" si="7"/>
        <v>17</v>
      </c>
      <c r="S35" s="48">
        <f t="shared" si="7"/>
        <v>18</v>
      </c>
      <c r="T35" s="48">
        <f t="shared" si="7"/>
        <v>19</v>
      </c>
      <c r="U35" s="48">
        <f t="shared" si="7"/>
        <v>20</v>
      </c>
      <c r="V35" s="48">
        <f t="shared" si="7"/>
        <v>21</v>
      </c>
      <c r="W35" s="48">
        <f t="shared" si="7"/>
        <v>22</v>
      </c>
      <c r="X35" s="48">
        <f t="shared" si="7"/>
        <v>23</v>
      </c>
      <c r="Y35" s="48">
        <f t="shared" si="7"/>
        <v>24</v>
      </c>
      <c r="Z35" s="48">
        <f t="shared" si="7"/>
        <v>25</v>
      </c>
      <c r="AA35" s="48">
        <f t="shared" si="7"/>
        <v>26</v>
      </c>
      <c r="AB35" s="48">
        <f t="shared" si="7"/>
        <v>27</v>
      </c>
      <c r="AC35" s="48">
        <f t="shared" si="7"/>
        <v>28</v>
      </c>
      <c r="AD35" s="48">
        <f t="shared" si="7"/>
        <v>29</v>
      </c>
      <c r="AE35" s="48">
        <f t="shared" si="7"/>
        <v>30</v>
      </c>
      <c r="AF35" s="48">
        <f t="shared" si="7"/>
        <v>31</v>
      </c>
      <c r="AG35" s="48">
        <f t="shared" si="7"/>
        <v>32</v>
      </c>
      <c r="AH35" s="48">
        <f t="shared" si="7"/>
        <v>33</v>
      </c>
      <c r="AI35" s="48">
        <f t="shared" si="7"/>
        <v>34</v>
      </c>
    </row>
    <row r="36" spans="2:35" ht="13.5" thickBot="1">
      <c r="B36" s="47" t="s">
        <v>93</v>
      </c>
      <c r="C36" s="194" t="str">
        <f t="shared" ref="C36:AI36" si="8">IFERROR(IF(C35=StartingAge,1,   IF(C35&gt;StartingAge,C31*B36,"")),"")</f>
        <v/>
      </c>
      <c r="D36" s="194" t="str">
        <f t="shared" si="8"/>
        <v/>
      </c>
      <c r="E36" s="194" t="str">
        <f t="shared" si="8"/>
        <v/>
      </c>
      <c r="F36" s="194" t="str">
        <f t="shared" si="8"/>
        <v/>
      </c>
      <c r="G36" s="194" t="str">
        <f t="shared" si="8"/>
        <v/>
      </c>
      <c r="H36" s="194" t="str">
        <f t="shared" si="8"/>
        <v/>
      </c>
      <c r="I36" s="194" t="str">
        <f t="shared" si="8"/>
        <v/>
      </c>
      <c r="J36" s="194" t="str">
        <f t="shared" si="8"/>
        <v/>
      </c>
      <c r="K36" s="194" t="str">
        <f t="shared" si="8"/>
        <v/>
      </c>
      <c r="L36" s="194" t="str">
        <f t="shared" si="8"/>
        <v/>
      </c>
      <c r="M36" s="194">
        <f t="shared" si="8"/>
        <v>1</v>
      </c>
      <c r="N36" s="194">
        <f t="shared" si="8"/>
        <v>0</v>
      </c>
      <c r="O36" s="194">
        <f t="shared" si="8"/>
        <v>0</v>
      </c>
      <c r="P36" s="194">
        <f t="shared" si="8"/>
        <v>0</v>
      </c>
      <c r="Q36" s="194">
        <f t="shared" si="8"/>
        <v>0</v>
      </c>
      <c r="R36" s="194">
        <f t="shared" si="8"/>
        <v>0</v>
      </c>
      <c r="S36" s="194">
        <f t="shared" si="8"/>
        <v>0</v>
      </c>
      <c r="T36" s="194">
        <f t="shared" si="8"/>
        <v>0</v>
      </c>
      <c r="U36" s="194">
        <f t="shared" si="8"/>
        <v>0</v>
      </c>
      <c r="V36" s="194">
        <f t="shared" si="8"/>
        <v>0</v>
      </c>
      <c r="W36" s="194">
        <f t="shared" si="8"/>
        <v>0</v>
      </c>
      <c r="X36" s="194">
        <f t="shared" si="8"/>
        <v>0</v>
      </c>
      <c r="Y36" s="194">
        <f t="shared" si="8"/>
        <v>0</v>
      </c>
      <c r="Z36" s="194">
        <f t="shared" si="8"/>
        <v>0</v>
      </c>
      <c r="AA36" s="194">
        <f t="shared" si="8"/>
        <v>0</v>
      </c>
      <c r="AB36" s="194">
        <f t="shared" si="8"/>
        <v>0</v>
      </c>
      <c r="AC36" s="194">
        <f t="shared" si="8"/>
        <v>0</v>
      </c>
      <c r="AD36" s="194">
        <f t="shared" si="8"/>
        <v>0</v>
      </c>
      <c r="AE36" s="194">
        <f t="shared" si="8"/>
        <v>0</v>
      </c>
      <c r="AF36" s="194">
        <f t="shared" si="8"/>
        <v>0</v>
      </c>
      <c r="AG36" s="194">
        <f t="shared" si="8"/>
        <v>0</v>
      </c>
      <c r="AH36" s="194">
        <f t="shared" si="8"/>
        <v>0</v>
      </c>
      <c r="AI36" s="194">
        <f t="shared" si="8"/>
        <v>0</v>
      </c>
    </row>
    <row r="37" spans="2:35" ht="14.25" thickTop="1" thickBot="1">
      <c r="B37" s="47" t="s">
        <v>94</v>
      </c>
      <c r="C37" s="194" t="str">
        <f t="shared" ref="C37:AI37" si="9">IFERROR(IF(C35=StartingAge,C36,     IF(C35&gt;StartingAge,C36+B37,    "")),"")</f>
        <v/>
      </c>
      <c r="D37" s="194" t="str">
        <f t="shared" si="9"/>
        <v/>
      </c>
      <c r="E37" s="194" t="str">
        <f t="shared" si="9"/>
        <v/>
      </c>
      <c r="F37" s="194" t="str">
        <f t="shared" si="9"/>
        <v/>
      </c>
      <c r="G37" s="194" t="str">
        <f t="shared" si="9"/>
        <v/>
      </c>
      <c r="H37" s="194" t="str">
        <f t="shared" si="9"/>
        <v/>
      </c>
      <c r="I37" s="194" t="str">
        <f t="shared" si="9"/>
        <v/>
      </c>
      <c r="J37" s="194" t="str">
        <f t="shared" si="9"/>
        <v/>
      </c>
      <c r="K37" s="194" t="str">
        <f t="shared" si="9"/>
        <v/>
      </c>
      <c r="L37" s="194" t="str">
        <f t="shared" si="9"/>
        <v/>
      </c>
      <c r="M37" s="194">
        <f t="shared" si="9"/>
        <v>1</v>
      </c>
      <c r="N37" s="194">
        <f t="shared" si="9"/>
        <v>1</v>
      </c>
      <c r="O37" s="194">
        <f t="shared" si="9"/>
        <v>1</v>
      </c>
      <c r="P37" s="194">
        <f t="shared" si="9"/>
        <v>1</v>
      </c>
      <c r="Q37" s="194">
        <f t="shared" si="9"/>
        <v>1</v>
      </c>
      <c r="R37" s="194">
        <f t="shared" si="9"/>
        <v>1</v>
      </c>
      <c r="S37" s="194">
        <f t="shared" si="9"/>
        <v>1</v>
      </c>
      <c r="T37" s="194">
        <f t="shared" si="9"/>
        <v>1</v>
      </c>
      <c r="U37" s="194">
        <f t="shared" si="9"/>
        <v>1</v>
      </c>
      <c r="V37" s="194">
        <f t="shared" si="9"/>
        <v>1</v>
      </c>
      <c r="W37" s="194">
        <f t="shared" si="9"/>
        <v>1</v>
      </c>
      <c r="X37" s="194">
        <f t="shared" si="9"/>
        <v>1</v>
      </c>
      <c r="Y37" s="194">
        <f t="shared" si="9"/>
        <v>1</v>
      </c>
      <c r="Z37" s="194">
        <f t="shared" si="9"/>
        <v>1</v>
      </c>
      <c r="AA37" s="194">
        <f t="shared" si="9"/>
        <v>1</v>
      </c>
      <c r="AB37" s="194">
        <f t="shared" si="9"/>
        <v>1</v>
      </c>
      <c r="AC37" s="194">
        <f t="shared" si="9"/>
        <v>1</v>
      </c>
      <c r="AD37" s="194">
        <f t="shared" si="9"/>
        <v>1</v>
      </c>
      <c r="AE37" s="194">
        <f t="shared" si="9"/>
        <v>1</v>
      </c>
      <c r="AF37" s="194">
        <f t="shared" si="9"/>
        <v>1</v>
      </c>
      <c r="AG37" s="194">
        <f t="shared" si="9"/>
        <v>1</v>
      </c>
      <c r="AH37" s="194">
        <f t="shared" si="9"/>
        <v>1</v>
      </c>
      <c r="AI37" s="194">
        <f t="shared" si="9"/>
        <v>1</v>
      </c>
    </row>
    <row r="38" spans="2:35" ht="13.5" thickTop="1"/>
    <row r="56" spans="1:13">
      <c r="A56" s="24" t="s">
        <v>40</v>
      </c>
    </row>
    <row r="57" spans="1:13">
      <c r="A57" s="24" t="s">
        <v>103</v>
      </c>
    </row>
    <row r="59" spans="1:13" ht="15.75">
      <c r="B59" s="99" t="s">
        <v>135</v>
      </c>
      <c r="C59" s="60"/>
      <c r="D59" s="61" t="s">
        <v>104</v>
      </c>
      <c r="F59" s="24" t="s">
        <v>151</v>
      </c>
      <c r="G59" s="115" t="s">
        <v>150</v>
      </c>
      <c r="L59" s="61" t="s">
        <v>105</v>
      </c>
      <c r="M59" s="61" t="s">
        <v>106</v>
      </c>
    </row>
    <row r="60" spans="1:13" ht="57">
      <c r="B60" s="62" t="s">
        <v>107</v>
      </c>
      <c r="C60" s="62" t="s">
        <v>108</v>
      </c>
      <c r="D60" s="62" t="s">
        <v>109</v>
      </c>
      <c r="L60" s="62" t="s">
        <v>110</v>
      </c>
      <c r="M60" s="62" t="s">
        <v>148</v>
      </c>
    </row>
    <row r="61" spans="1:13" ht="15" thickBot="1">
      <c r="B61" s="84">
        <v>12</v>
      </c>
      <c r="C61" s="84">
        <f>B61/12</f>
        <v>1</v>
      </c>
      <c r="D61" s="195" t="str">
        <f t="shared" ref="D61:D94" si="10">IFERROR(HLOOKUP(C61,$C$35:$AI$37,3,FALSE),"")</f>
        <v/>
      </c>
      <c r="F61" s="64"/>
      <c r="G61" s="60"/>
      <c r="L61" s="90">
        <f t="shared" ref="L61:L94" si="11">$G$64-$G$65*EXP(-$G$66*C61^$G$67)</f>
        <v>0</v>
      </c>
      <c r="M61" s="90">
        <f>$G$76*EXP($G$77*EXP($G$78*C61))+$G$79</f>
        <v>0</v>
      </c>
    </row>
    <row r="62" spans="1:13" ht="15.75" thickTop="1" thickBot="1">
      <c r="B62" s="84">
        <f>B61+12</f>
        <v>24</v>
      </c>
      <c r="C62" s="84">
        <f t="shared" ref="C62:C92" si="12">B62/12</f>
        <v>2</v>
      </c>
      <c r="D62" s="195" t="str">
        <f t="shared" si="10"/>
        <v/>
      </c>
      <c r="F62" s="65" t="s">
        <v>112</v>
      </c>
      <c r="G62" s="66"/>
      <c r="L62" s="90">
        <f t="shared" si="11"/>
        <v>0</v>
      </c>
      <c r="M62" s="90">
        <f t="shared" ref="M62:M94" si="13">$G$76*EXP($G$77*EXP($G$78*C62))+$G$79</f>
        <v>0</v>
      </c>
    </row>
    <row r="63" spans="1:13" ht="15.75" thickTop="1" thickBot="1">
      <c r="B63" s="84">
        <f t="shared" ref="B63:B94" si="14">B62+12</f>
        <v>36</v>
      </c>
      <c r="C63" s="84">
        <f t="shared" si="12"/>
        <v>3</v>
      </c>
      <c r="D63" s="195" t="str">
        <f t="shared" si="10"/>
        <v/>
      </c>
      <c r="F63" s="67" t="s">
        <v>113</v>
      </c>
      <c r="G63" s="68"/>
      <c r="H63" s="32" t="s">
        <v>149</v>
      </c>
      <c r="I63" t="s">
        <v>144</v>
      </c>
      <c r="J63" s="32" t="s">
        <v>152</v>
      </c>
      <c r="L63" s="90">
        <f t="shared" si="11"/>
        <v>0</v>
      </c>
      <c r="M63" s="90">
        <f t="shared" si="13"/>
        <v>0</v>
      </c>
    </row>
    <row r="64" spans="1:13" ht="15.75" thickTop="1" thickBot="1">
      <c r="B64" s="84">
        <f t="shared" si="14"/>
        <v>48</v>
      </c>
      <c r="C64" s="84">
        <f t="shared" si="12"/>
        <v>4</v>
      </c>
      <c r="D64" s="195" t="str">
        <f t="shared" si="10"/>
        <v/>
      </c>
      <c r="F64" s="67" t="s">
        <v>114</v>
      </c>
      <c r="G64" s="192">
        <f>CHOOSE(VLOOKUP(Mode,$Q$95:$R$118,2,FALSE),  $I$65, $I$72, $K$64)</f>
        <v>0</v>
      </c>
      <c r="H64" s="191" t="s">
        <v>146</v>
      </c>
      <c r="I64" s="15"/>
      <c r="J64" s="85" t="str">
        <f>F64</f>
        <v>a =</v>
      </c>
      <c r="K64" s="15"/>
      <c r="L64" s="90">
        <f t="shared" si="11"/>
        <v>0</v>
      </c>
      <c r="M64" s="90">
        <f t="shared" si="13"/>
        <v>0</v>
      </c>
    </row>
    <row r="65" spans="2:13" ht="15.75" thickTop="1" thickBot="1">
      <c r="B65" s="84">
        <f t="shared" si="14"/>
        <v>60</v>
      </c>
      <c r="C65" s="84">
        <f t="shared" si="12"/>
        <v>5</v>
      </c>
      <c r="D65" s="195" t="str">
        <f t="shared" si="10"/>
        <v/>
      </c>
      <c r="F65" s="67" t="s">
        <v>115</v>
      </c>
      <c r="G65" s="192">
        <f>CHOOSE( VLOOKUP(Mode,$Q$95:$R$118,2,FALSE),  $I$65-$I$66, -$I$69, $K$65)</f>
        <v>0</v>
      </c>
      <c r="H65" s="191" t="s">
        <v>143</v>
      </c>
      <c r="I65" s="15"/>
      <c r="J65" s="85" t="str">
        <f t="shared" ref="J65:J67" si="15">F65</f>
        <v>b =</v>
      </c>
      <c r="K65" s="15"/>
      <c r="L65" s="90">
        <f t="shared" si="11"/>
        <v>0</v>
      </c>
      <c r="M65" s="90">
        <f t="shared" si="13"/>
        <v>0</v>
      </c>
    </row>
    <row r="66" spans="2:13" ht="15.75" thickTop="1" thickBot="1">
      <c r="B66" s="84">
        <f t="shared" si="14"/>
        <v>72</v>
      </c>
      <c r="C66" s="84">
        <f t="shared" si="12"/>
        <v>6</v>
      </c>
      <c r="D66" s="195" t="str">
        <f t="shared" si="10"/>
        <v/>
      </c>
      <c r="F66" s="67" t="s">
        <v>116</v>
      </c>
      <c r="G66" s="192">
        <f>CHOOSE(VLOOKUP(Mode,$Q$95:$R$118,2,FALSE),  EXP(-$I$64*LN($I$67)), -$I$70, $K$66)</f>
        <v>0</v>
      </c>
      <c r="H66" s="191" t="s">
        <v>145</v>
      </c>
      <c r="I66" s="15"/>
      <c r="J66" s="85" t="str">
        <f t="shared" si="15"/>
        <v>c =</v>
      </c>
      <c r="K66" s="15"/>
      <c r="L66" s="90">
        <f t="shared" si="11"/>
        <v>0</v>
      </c>
      <c r="M66" s="90">
        <f t="shared" si="13"/>
        <v>0</v>
      </c>
    </row>
    <row r="67" spans="2:13" ht="15.75" thickTop="1" thickBot="1">
      <c r="B67" s="84">
        <f t="shared" si="14"/>
        <v>84</v>
      </c>
      <c r="C67" s="84">
        <f t="shared" si="12"/>
        <v>7</v>
      </c>
      <c r="D67" s="195" t="str">
        <f t="shared" si="10"/>
        <v/>
      </c>
      <c r="F67" s="67" t="s">
        <v>117</v>
      </c>
      <c r="G67" s="192">
        <f>CHOOSE(VLOOKUP(Mode,$Q$95:$R$118,2,FALSE),  $I$64, $I$71, $K$67)</f>
        <v>0</v>
      </c>
      <c r="H67" s="191" t="s">
        <v>147</v>
      </c>
      <c r="I67" s="15"/>
      <c r="J67" s="85" t="str">
        <f t="shared" si="15"/>
        <v>d =</v>
      </c>
      <c r="K67" s="15"/>
      <c r="L67" s="90">
        <f t="shared" si="11"/>
        <v>0</v>
      </c>
      <c r="M67" s="90">
        <f t="shared" si="13"/>
        <v>0</v>
      </c>
    </row>
    <row r="68" spans="2:13" ht="16.5" thickTop="1" thickBot="1">
      <c r="B68" s="84">
        <f t="shared" si="14"/>
        <v>96</v>
      </c>
      <c r="C68" s="84">
        <f t="shared" si="12"/>
        <v>8</v>
      </c>
      <c r="D68" s="195" t="str">
        <f t="shared" si="10"/>
        <v/>
      </c>
      <c r="F68" s="69"/>
      <c r="G68" s="193"/>
      <c r="H68" s="32" t="s">
        <v>150</v>
      </c>
      <c r="L68" s="90">
        <f t="shared" si="11"/>
        <v>0</v>
      </c>
      <c r="M68" s="90">
        <f t="shared" si="13"/>
        <v>0</v>
      </c>
    </row>
    <row r="69" spans="2:13" ht="15.75" thickTop="1" thickBot="1">
      <c r="B69" s="84">
        <f t="shared" si="14"/>
        <v>108</v>
      </c>
      <c r="C69" s="84">
        <f t="shared" si="12"/>
        <v>9</v>
      </c>
      <c r="D69" s="195" t="str">
        <f t="shared" si="10"/>
        <v/>
      </c>
      <c r="F69" s="67" t="s">
        <v>118</v>
      </c>
      <c r="G69" s="90">
        <f>STEYX(L61:L94,C61:C94)</f>
        <v>0</v>
      </c>
      <c r="H69" s="191" t="s">
        <v>153</v>
      </c>
      <c r="I69" s="15"/>
      <c r="L69" s="90">
        <f t="shared" si="11"/>
        <v>0</v>
      </c>
      <c r="M69" s="90">
        <f t="shared" si="13"/>
        <v>0</v>
      </c>
    </row>
    <row r="70" spans="2:13" ht="15.75" thickTop="1" thickBot="1">
      <c r="B70" s="84">
        <f t="shared" si="14"/>
        <v>120</v>
      </c>
      <c r="C70" s="84">
        <f t="shared" si="12"/>
        <v>10</v>
      </c>
      <c r="D70" s="195" t="str">
        <f t="shared" si="10"/>
        <v/>
      </c>
      <c r="F70" s="70" t="s">
        <v>119</v>
      </c>
      <c r="G70" s="90" t="str">
        <f>IFERROR(CORREL(INDEX($D$61:$D$94,StartingAge,0,1):$D$94,INDEX($L$61:$L$94,StartingAge,0,1):$L$94), "Check Input.")</f>
        <v>Check Input.</v>
      </c>
      <c r="H70" s="191" t="s">
        <v>154</v>
      </c>
      <c r="I70" s="15"/>
      <c r="L70" s="90">
        <f t="shared" si="11"/>
        <v>0</v>
      </c>
      <c r="M70" s="90">
        <f t="shared" si="13"/>
        <v>0</v>
      </c>
    </row>
    <row r="71" spans="2:13" ht="14.25" thickTop="1" thickBot="1">
      <c r="B71" s="84">
        <f t="shared" si="14"/>
        <v>132</v>
      </c>
      <c r="C71" s="84">
        <f t="shared" si="12"/>
        <v>11</v>
      </c>
      <c r="D71" s="195" t="str">
        <f t="shared" si="10"/>
        <v/>
      </c>
      <c r="H71" s="104" t="s">
        <v>155</v>
      </c>
      <c r="I71" s="15"/>
      <c r="L71" s="90">
        <f t="shared" si="11"/>
        <v>0</v>
      </c>
      <c r="M71" s="90">
        <f t="shared" si="13"/>
        <v>0</v>
      </c>
    </row>
    <row r="72" spans="2:13" ht="14.25" thickTop="1" thickBot="1">
      <c r="B72" s="84">
        <f t="shared" si="14"/>
        <v>144</v>
      </c>
      <c r="C72" s="84">
        <f t="shared" si="12"/>
        <v>12</v>
      </c>
      <c r="D72" s="195">
        <f t="shared" si="10"/>
        <v>1</v>
      </c>
      <c r="H72" s="104" t="s">
        <v>156</v>
      </c>
      <c r="I72" s="15"/>
      <c r="L72" s="90">
        <f t="shared" si="11"/>
        <v>0</v>
      </c>
      <c r="M72" s="90">
        <f t="shared" si="13"/>
        <v>0</v>
      </c>
    </row>
    <row r="73" spans="2:13" ht="15.75" thickTop="1" thickBot="1">
      <c r="B73" s="84">
        <f t="shared" si="14"/>
        <v>156</v>
      </c>
      <c r="C73" s="84">
        <f t="shared" si="12"/>
        <v>13</v>
      </c>
      <c r="D73" s="195">
        <f t="shared" si="10"/>
        <v>1</v>
      </c>
      <c r="F73" s="64"/>
      <c r="G73" s="60"/>
      <c r="L73" s="90">
        <f t="shared" si="11"/>
        <v>0</v>
      </c>
      <c r="M73" s="90">
        <f t="shared" si="13"/>
        <v>0</v>
      </c>
    </row>
    <row r="74" spans="2:13" ht="15.75" thickTop="1" thickBot="1">
      <c r="B74" s="84">
        <f t="shared" si="14"/>
        <v>168</v>
      </c>
      <c r="C74" s="84">
        <f t="shared" si="12"/>
        <v>14</v>
      </c>
      <c r="D74" s="195">
        <f t="shared" si="10"/>
        <v>1</v>
      </c>
      <c r="F74" s="71" t="s">
        <v>157</v>
      </c>
      <c r="G74" s="72"/>
      <c r="L74" s="90">
        <f t="shared" si="11"/>
        <v>0</v>
      </c>
      <c r="M74" s="90">
        <f t="shared" si="13"/>
        <v>0</v>
      </c>
    </row>
    <row r="75" spans="2:13" ht="15.75" thickTop="1" thickBot="1">
      <c r="B75" s="84">
        <f t="shared" si="14"/>
        <v>180</v>
      </c>
      <c r="C75" s="84">
        <f t="shared" si="12"/>
        <v>15</v>
      </c>
      <c r="D75" s="195">
        <f t="shared" si="10"/>
        <v>1</v>
      </c>
      <c r="F75" s="73" t="s">
        <v>113</v>
      </c>
      <c r="G75" s="74"/>
      <c r="H75" s="32" t="s">
        <v>149</v>
      </c>
      <c r="I75" t="s">
        <v>144</v>
      </c>
      <c r="J75" s="32" t="s">
        <v>152</v>
      </c>
      <c r="L75" s="90">
        <f t="shared" si="11"/>
        <v>0</v>
      </c>
      <c r="M75" s="90">
        <f t="shared" si="13"/>
        <v>0</v>
      </c>
    </row>
    <row r="76" spans="2:13" ht="15.75" thickTop="1" thickBot="1">
      <c r="B76" s="84">
        <f t="shared" si="14"/>
        <v>192</v>
      </c>
      <c r="C76" s="84">
        <f t="shared" si="12"/>
        <v>16</v>
      </c>
      <c r="D76" s="195">
        <f t="shared" si="10"/>
        <v>1</v>
      </c>
      <c r="F76" s="73" t="s">
        <v>114</v>
      </c>
      <c r="G76" s="192">
        <f>IF(Mode="LAB Fit", $I81,     IF(Mode="R", $I$78-$I$77,      IF(Mode="Custom", $K$76)))</f>
        <v>0</v>
      </c>
      <c r="H76" s="191" t="s">
        <v>146</v>
      </c>
      <c r="I76" s="15"/>
      <c r="J76" s="85" t="str">
        <f>F76</f>
        <v>a =</v>
      </c>
      <c r="K76" s="15"/>
      <c r="L76" s="90">
        <f t="shared" si="11"/>
        <v>0</v>
      </c>
      <c r="M76" s="90">
        <f t="shared" si="13"/>
        <v>0</v>
      </c>
    </row>
    <row r="77" spans="2:13" ht="15.75" thickTop="1" thickBot="1">
      <c r="B77" s="84">
        <f t="shared" si="14"/>
        <v>204</v>
      </c>
      <c r="C77" s="84">
        <f t="shared" si="12"/>
        <v>17</v>
      </c>
      <c r="D77" s="195">
        <f t="shared" si="10"/>
        <v>1</v>
      </c>
      <c r="F77" s="73" t="s">
        <v>115</v>
      </c>
      <c r="G77" s="192">
        <f>IF(Mode="LAB Fit", $I82,      IF(Mode="R", -EXP(-$I$76*$I$79),    IF(Mode="Custom", $K$77)))</f>
        <v>0</v>
      </c>
      <c r="H77" s="191" t="s">
        <v>143</v>
      </c>
      <c r="I77" s="15"/>
      <c r="J77" s="85" t="str">
        <f t="shared" ref="J77:J79" si="16">F77</f>
        <v>b =</v>
      </c>
      <c r="K77" s="15"/>
      <c r="L77" s="90">
        <f t="shared" si="11"/>
        <v>0</v>
      </c>
      <c r="M77" s="90">
        <f t="shared" si="13"/>
        <v>0</v>
      </c>
    </row>
    <row r="78" spans="2:13" ht="15.75" thickTop="1" thickBot="1">
      <c r="B78" s="84">
        <f t="shared" si="14"/>
        <v>216</v>
      </c>
      <c r="C78" s="84">
        <f t="shared" si="12"/>
        <v>18</v>
      </c>
      <c r="D78" s="195">
        <f t="shared" si="10"/>
        <v>1</v>
      </c>
      <c r="F78" s="73" t="s">
        <v>116</v>
      </c>
      <c r="G78" s="192">
        <f>IF(Mode="LAB Fit", $I83,      IF(Mode="R", $I$76,      IF(Mode="Custom", $K$78)))</f>
        <v>0</v>
      </c>
      <c r="H78" s="191" t="s">
        <v>145</v>
      </c>
      <c r="I78" s="15"/>
      <c r="J78" s="85" t="str">
        <f t="shared" si="16"/>
        <v>c =</v>
      </c>
      <c r="K78" s="15"/>
      <c r="L78" s="90">
        <f t="shared" si="11"/>
        <v>0</v>
      </c>
      <c r="M78" s="90">
        <f t="shared" si="13"/>
        <v>0</v>
      </c>
    </row>
    <row r="79" spans="2:13" ht="15.75" thickTop="1" thickBot="1">
      <c r="B79" s="84">
        <f t="shared" si="14"/>
        <v>228</v>
      </c>
      <c r="C79" s="84">
        <f t="shared" si="12"/>
        <v>19</v>
      </c>
      <c r="D79" s="195">
        <f t="shared" si="10"/>
        <v>1</v>
      </c>
      <c r="F79" s="73" t="s">
        <v>117</v>
      </c>
      <c r="G79" s="106">
        <f>IF(Mode="LAB Fit", I84,     IF(Mode="R", $I$77,      IF(Mode="Custom",$K$79,)))</f>
        <v>0</v>
      </c>
      <c r="H79" s="191" t="s">
        <v>147</v>
      </c>
      <c r="I79" s="15"/>
      <c r="J79" s="85" t="str">
        <f t="shared" si="16"/>
        <v>d =</v>
      </c>
      <c r="K79" s="15"/>
      <c r="L79" s="90">
        <f t="shared" si="11"/>
        <v>0</v>
      </c>
      <c r="M79" s="90">
        <f t="shared" si="13"/>
        <v>0</v>
      </c>
    </row>
    <row r="80" spans="2:13" ht="15.75" thickTop="1" thickBot="1">
      <c r="B80" s="84">
        <f t="shared" si="14"/>
        <v>240</v>
      </c>
      <c r="C80" s="84">
        <f t="shared" si="12"/>
        <v>20</v>
      </c>
      <c r="D80" s="195">
        <f t="shared" si="10"/>
        <v>1</v>
      </c>
      <c r="F80" s="73"/>
      <c r="G80" s="74"/>
      <c r="H80" s="32" t="s">
        <v>150</v>
      </c>
      <c r="L80" s="90">
        <f t="shared" si="11"/>
        <v>0</v>
      </c>
      <c r="M80" s="90">
        <f t="shared" si="13"/>
        <v>0</v>
      </c>
    </row>
    <row r="81" spans="2:20" ht="15.75" thickTop="1" thickBot="1">
      <c r="B81" s="84">
        <f t="shared" si="14"/>
        <v>252</v>
      </c>
      <c r="C81" s="84">
        <f t="shared" si="12"/>
        <v>21</v>
      </c>
      <c r="D81" s="195">
        <f t="shared" si="10"/>
        <v>1</v>
      </c>
      <c r="F81" s="73" t="s">
        <v>118</v>
      </c>
      <c r="G81" s="90">
        <f>STEYX(M61:M94,C61:C94)</f>
        <v>0</v>
      </c>
      <c r="H81" s="191" t="s">
        <v>153</v>
      </c>
      <c r="I81" s="15"/>
      <c r="L81" s="90">
        <f t="shared" si="11"/>
        <v>0</v>
      </c>
      <c r="M81" s="90">
        <f t="shared" si="13"/>
        <v>0</v>
      </c>
    </row>
    <row r="82" spans="2:20" ht="15.75" thickTop="1" thickBot="1">
      <c r="B82" s="84">
        <f t="shared" si="14"/>
        <v>264</v>
      </c>
      <c r="C82" s="84">
        <f t="shared" si="12"/>
        <v>22</v>
      </c>
      <c r="D82" s="195">
        <f t="shared" si="10"/>
        <v>1</v>
      </c>
      <c r="F82" s="75" t="s">
        <v>119</v>
      </c>
      <c r="G82" s="90" t="str">
        <f>IFERROR(CORREL(INDEX($D$61:$D$94,StartingAge,0,1):$D$94,INDEX($M$61:$M$94,StartingAge,0,1):$M$94), "Check Input.")</f>
        <v>Check Input.</v>
      </c>
      <c r="H82" s="191" t="s">
        <v>154</v>
      </c>
      <c r="I82" s="15"/>
      <c r="L82" s="90">
        <f t="shared" si="11"/>
        <v>0</v>
      </c>
      <c r="M82" s="90">
        <f t="shared" si="13"/>
        <v>0</v>
      </c>
    </row>
    <row r="83" spans="2:20" ht="14.25" thickTop="1" thickBot="1">
      <c r="B83" s="84">
        <f t="shared" si="14"/>
        <v>276</v>
      </c>
      <c r="C83" s="84">
        <f t="shared" si="12"/>
        <v>23</v>
      </c>
      <c r="D83" s="195">
        <f t="shared" si="10"/>
        <v>1</v>
      </c>
      <c r="G83" s="105"/>
      <c r="H83" s="104" t="s">
        <v>155</v>
      </c>
      <c r="I83" s="15"/>
      <c r="L83" s="90">
        <f t="shared" si="11"/>
        <v>0</v>
      </c>
      <c r="M83" s="90">
        <f t="shared" si="13"/>
        <v>0</v>
      </c>
    </row>
    <row r="84" spans="2:20" ht="14.25" thickTop="1" thickBot="1">
      <c r="B84" s="84">
        <f t="shared" si="14"/>
        <v>288</v>
      </c>
      <c r="C84" s="84">
        <f t="shared" si="12"/>
        <v>24</v>
      </c>
      <c r="D84" s="195">
        <f t="shared" si="10"/>
        <v>1</v>
      </c>
      <c r="H84" s="104" t="s">
        <v>156</v>
      </c>
      <c r="I84" s="15"/>
      <c r="L84" s="90">
        <f t="shared" si="11"/>
        <v>0</v>
      </c>
      <c r="M84" s="90">
        <f t="shared" si="13"/>
        <v>0</v>
      </c>
    </row>
    <row r="85" spans="2:20" ht="14.25" thickTop="1" thickBot="1">
      <c r="B85" s="84">
        <f t="shared" si="14"/>
        <v>300</v>
      </c>
      <c r="C85" s="84">
        <f t="shared" si="12"/>
        <v>25</v>
      </c>
      <c r="D85" s="195">
        <f t="shared" si="10"/>
        <v>1</v>
      </c>
      <c r="F85" t="s">
        <v>142</v>
      </c>
      <c r="L85" s="90">
        <f t="shared" si="11"/>
        <v>0</v>
      </c>
      <c r="M85" s="90">
        <f t="shared" si="13"/>
        <v>0</v>
      </c>
    </row>
    <row r="86" spans="2:20" ht="14.25" thickTop="1" thickBot="1">
      <c r="B86" s="84">
        <f t="shared" si="14"/>
        <v>312</v>
      </c>
      <c r="C86" s="84">
        <f t="shared" si="12"/>
        <v>26</v>
      </c>
      <c r="D86" s="195">
        <f t="shared" si="10"/>
        <v>1</v>
      </c>
      <c r="L86" s="90">
        <f t="shared" si="11"/>
        <v>0</v>
      </c>
      <c r="M86" s="90">
        <f t="shared" si="13"/>
        <v>0</v>
      </c>
    </row>
    <row r="87" spans="2:20" ht="14.25" thickTop="1" thickBot="1">
      <c r="B87" s="84">
        <f t="shared" si="14"/>
        <v>324</v>
      </c>
      <c r="C87" s="84">
        <f t="shared" si="12"/>
        <v>27</v>
      </c>
      <c r="D87" s="195">
        <f t="shared" si="10"/>
        <v>1</v>
      </c>
      <c r="L87" s="90">
        <f t="shared" si="11"/>
        <v>0</v>
      </c>
      <c r="M87" s="90">
        <f t="shared" si="13"/>
        <v>0</v>
      </c>
    </row>
    <row r="88" spans="2:20" ht="14.25" thickTop="1" thickBot="1">
      <c r="B88" s="84">
        <f t="shared" si="14"/>
        <v>336</v>
      </c>
      <c r="C88" s="84">
        <f t="shared" si="12"/>
        <v>28</v>
      </c>
      <c r="D88" s="195">
        <f t="shared" si="10"/>
        <v>1</v>
      </c>
      <c r="L88" s="90">
        <f t="shared" si="11"/>
        <v>0</v>
      </c>
      <c r="M88" s="90">
        <f t="shared" si="13"/>
        <v>0</v>
      </c>
    </row>
    <row r="89" spans="2:20" ht="14.25" thickTop="1" thickBot="1">
      <c r="B89" s="84">
        <f t="shared" si="14"/>
        <v>348</v>
      </c>
      <c r="C89" s="84">
        <f t="shared" si="12"/>
        <v>29</v>
      </c>
      <c r="D89" s="195">
        <f t="shared" si="10"/>
        <v>1</v>
      </c>
      <c r="L89" s="90">
        <f t="shared" si="11"/>
        <v>0</v>
      </c>
      <c r="M89" s="90">
        <f t="shared" si="13"/>
        <v>0</v>
      </c>
    </row>
    <row r="90" spans="2:20" ht="14.25" thickTop="1" thickBot="1">
      <c r="B90" s="84">
        <f t="shared" si="14"/>
        <v>360</v>
      </c>
      <c r="C90" s="84">
        <f t="shared" si="12"/>
        <v>30</v>
      </c>
      <c r="D90" s="195">
        <f t="shared" si="10"/>
        <v>1</v>
      </c>
      <c r="L90" s="90">
        <f t="shared" si="11"/>
        <v>0</v>
      </c>
      <c r="M90" s="90">
        <f t="shared" si="13"/>
        <v>0</v>
      </c>
    </row>
    <row r="91" spans="2:20" ht="14.25" thickTop="1" thickBot="1">
      <c r="B91" s="84">
        <f t="shared" si="14"/>
        <v>372</v>
      </c>
      <c r="C91" s="84">
        <f t="shared" si="12"/>
        <v>31</v>
      </c>
      <c r="D91" s="195">
        <f t="shared" si="10"/>
        <v>1</v>
      </c>
      <c r="L91" s="90">
        <f t="shared" si="11"/>
        <v>0</v>
      </c>
      <c r="M91" s="90">
        <f t="shared" si="13"/>
        <v>0</v>
      </c>
    </row>
    <row r="92" spans="2:20" ht="14.25" thickTop="1" thickBot="1">
      <c r="B92" s="84">
        <f t="shared" si="14"/>
        <v>384</v>
      </c>
      <c r="C92" s="84">
        <f t="shared" si="12"/>
        <v>32</v>
      </c>
      <c r="D92" s="195">
        <f t="shared" si="10"/>
        <v>1</v>
      </c>
      <c r="L92" s="90">
        <f t="shared" si="11"/>
        <v>0</v>
      </c>
      <c r="M92" s="90">
        <f t="shared" si="13"/>
        <v>0</v>
      </c>
    </row>
    <row r="93" spans="2:20" ht="15.75" thickTop="1" thickBot="1">
      <c r="B93" s="84">
        <f t="shared" si="14"/>
        <v>396</v>
      </c>
      <c r="C93" s="84">
        <f>C92+1</f>
        <v>33</v>
      </c>
      <c r="D93" s="195">
        <f t="shared" si="10"/>
        <v>1</v>
      </c>
      <c r="E93" s="63"/>
      <c r="F93" s="63"/>
      <c r="L93" s="90">
        <f t="shared" si="11"/>
        <v>0</v>
      </c>
      <c r="M93" s="90">
        <f t="shared" si="13"/>
        <v>0</v>
      </c>
    </row>
    <row r="94" spans="2:20" ht="15.75" thickTop="1" thickBot="1">
      <c r="B94" s="84">
        <f t="shared" si="14"/>
        <v>408</v>
      </c>
      <c r="C94" s="84">
        <f>C93+1</f>
        <v>34</v>
      </c>
      <c r="D94" s="195">
        <f t="shared" si="10"/>
        <v>1</v>
      </c>
      <c r="E94" s="63"/>
      <c r="L94" s="90">
        <f t="shared" si="11"/>
        <v>0</v>
      </c>
      <c r="M94" s="90">
        <f t="shared" si="13"/>
        <v>0</v>
      </c>
    </row>
    <row r="95" spans="2:20" ht="13.5" thickTop="1">
      <c r="P95" s="107"/>
      <c r="Q95" s="108" t="s">
        <v>149</v>
      </c>
      <c r="R95" s="108">
        <v>1</v>
      </c>
      <c r="S95" s="108" t="s">
        <v>105</v>
      </c>
      <c r="T95" s="107"/>
    </row>
    <row r="96" spans="2:20">
      <c r="P96" s="107"/>
      <c r="Q96" s="108" t="s">
        <v>150</v>
      </c>
      <c r="R96" s="108">
        <v>2</v>
      </c>
      <c r="S96" s="108" t="s">
        <v>106</v>
      </c>
      <c r="T96" s="107"/>
    </row>
    <row r="97" spans="1:20">
      <c r="P97" s="107"/>
      <c r="Q97" s="108"/>
      <c r="R97" s="108"/>
      <c r="S97" s="108"/>
      <c r="T97" s="107"/>
    </row>
    <row r="98" spans="1:20">
      <c r="P98" s="107"/>
      <c r="Q98" s="108"/>
      <c r="R98" s="108"/>
      <c r="S98" s="108"/>
      <c r="T98" s="107"/>
    </row>
    <row r="99" spans="1:20">
      <c r="A99" s="24" t="s">
        <v>42</v>
      </c>
      <c r="B99" s="24" t="s">
        <v>95</v>
      </c>
      <c r="P99" s="107"/>
      <c r="Q99" s="108"/>
      <c r="R99" s="108"/>
      <c r="S99" s="108"/>
      <c r="T99" s="107"/>
    </row>
    <row r="100" spans="1:20">
      <c r="B100" s="32" t="s">
        <v>134</v>
      </c>
      <c r="P100" s="107"/>
      <c r="Q100" s="108"/>
      <c r="R100" s="108"/>
      <c r="S100" s="108"/>
      <c r="T100" s="107"/>
    </row>
    <row r="101" spans="1:20">
      <c r="B101" s="50" t="str">
        <f t="shared" ref="B101:G101" si="17">TEXT(COLUMN(),"(##)")</f>
        <v>(2)</v>
      </c>
      <c r="C101" s="50" t="str">
        <f t="shared" si="17"/>
        <v>(3)</v>
      </c>
      <c r="D101" s="50" t="str">
        <f t="shared" si="17"/>
        <v>(4)</v>
      </c>
      <c r="E101" s="50" t="str">
        <f t="shared" si="17"/>
        <v>(5)</v>
      </c>
      <c r="F101" s="50" t="str">
        <f t="shared" si="17"/>
        <v>(6)</v>
      </c>
      <c r="G101" s="50" t="str">
        <f t="shared" si="17"/>
        <v>(7)</v>
      </c>
      <c r="P101" s="107"/>
      <c r="Q101" s="108"/>
      <c r="R101" s="108"/>
      <c r="S101" s="108"/>
      <c r="T101" s="107"/>
    </row>
    <row r="102" spans="1:20">
      <c r="B102" s="51" t="s">
        <v>34</v>
      </c>
      <c r="C102" s="51" t="s">
        <v>96</v>
      </c>
      <c r="D102" s="51" t="s">
        <v>97</v>
      </c>
      <c r="E102" s="51" t="s">
        <v>98</v>
      </c>
      <c r="F102" s="51" t="s">
        <v>98</v>
      </c>
      <c r="G102" s="51" t="s">
        <v>99</v>
      </c>
      <c r="P102" s="107"/>
      <c r="Q102" s="108"/>
      <c r="R102" s="108"/>
      <c r="S102" s="108"/>
      <c r="T102" s="107"/>
    </row>
    <row r="103" spans="1:20" ht="25.5">
      <c r="B103" s="52"/>
      <c r="C103" s="52"/>
      <c r="D103" s="52"/>
      <c r="E103" s="53" t="s">
        <v>100</v>
      </c>
      <c r="F103" s="53" t="s">
        <v>101</v>
      </c>
      <c r="G103" s="53" t="s">
        <v>102</v>
      </c>
      <c r="P103" s="107"/>
      <c r="Q103" s="108"/>
      <c r="R103" s="108"/>
      <c r="S103" s="108"/>
      <c r="T103" s="107"/>
    </row>
    <row r="104" spans="1:20">
      <c r="B104" s="54"/>
      <c r="C104" s="54"/>
      <c r="D104" s="54"/>
      <c r="E104" s="54"/>
      <c r="F104" s="54"/>
      <c r="G104" s="54"/>
      <c r="P104" s="107"/>
      <c r="Q104" s="108"/>
      <c r="R104" s="108"/>
      <c r="S104" s="108"/>
      <c r="T104" s="107"/>
    </row>
    <row r="105" spans="1:20" ht="13.5" thickBot="1">
      <c r="B105" s="55">
        <v>1977</v>
      </c>
      <c r="C105" s="90">
        <f t="shared" ref="C105:D110" si="18">C106+1</f>
        <v>19</v>
      </c>
      <c r="D105" s="90">
        <f t="shared" si="18"/>
        <v>34</v>
      </c>
      <c r="E105" s="92"/>
      <c r="F105" s="92"/>
      <c r="G105" s="92"/>
      <c r="P105" s="107"/>
      <c r="Q105" s="108"/>
      <c r="R105" s="108"/>
      <c r="S105" s="108"/>
      <c r="T105" s="107"/>
    </row>
    <row r="106" spans="1:20" ht="14.25" thickTop="1" thickBot="1">
      <c r="B106" s="55">
        <v>1978</v>
      </c>
      <c r="C106" s="90">
        <f t="shared" si="18"/>
        <v>18</v>
      </c>
      <c r="D106" s="90">
        <f t="shared" si="18"/>
        <v>33</v>
      </c>
      <c r="E106" s="92"/>
      <c r="F106" s="92"/>
      <c r="G106" s="92"/>
      <c r="P106" s="107"/>
      <c r="Q106" s="108"/>
      <c r="R106" s="108"/>
      <c r="S106" s="108"/>
      <c r="T106" s="107"/>
    </row>
    <row r="107" spans="1:20" ht="14.25" thickTop="1" thickBot="1">
      <c r="B107" s="55">
        <v>1979</v>
      </c>
      <c r="C107" s="90">
        <f t="shared" si="18"/>
        <v>17</v>
      </c>
      <c r="D107" s="90">
        <f t="shared" si="18"/>
        <v>32</v>
      </c>
      <c r="E107" s="92"/>
      <c r="F107" s="92"/>
      <c r="G107" s="92"/>
      <c r="P107" s="107"/>
      <c r="Q107" s="108"/>
      <c r="R107" s="108"/>
      <c r="S107" s="108"/>
      <c r="T107" s="107"/>
    </row>
    <row r="108" spans="1:20" ht="14.25" thickTop="1" thickBot="1">
      <c r="B108" s="55">
        <v>1980</v>
      </c>
      <c r="C108" s="90">
        <f t="shared" si="18"/>
        <v>16</v>
      </c>
      <c r="D108" s="90">
        <f t="shared" si="18"/>
        <v>31</v>
      </c>
      <c r="E108" s="204">
        <f ca="1">SUM($C9:OFFSET($C9,0,C108-1))</f>
        <v>5034855.2233645599</v>
      </c>
      <c r="F108" s="204">
        <f>SUM(C9:AJ9)</f>
        <v>5500332.4360821815</v>
      </c>
      <c r="G108" s="204">
        <f t="shared" ref="G108" ca="1" si="19">F108-E108</f>
        <v>465477.21271762159</v>
      </c>
      <c r="P108" s="107"/>
      <c r="Q108" s="108"/>
      <c r="R108" s="108"/>
      <c r="S108" s="108"/>
      <c r="T108" s="107"/>
    </row>
    <row r="109" spans="1:20" ht="14.25" thickTop="1" thickBot="1">
      <c r="B109" s="55">
        <v>1981</v>
      </c>
      <c r="C109" s="90">
        <f t="shared" si="18"/>
        <v>15</v>
      </c>
      <c r="D109" s="90">
        <f t="shared" si="18"/>
        <v>30</v>
      </c>
      <c r="E109" s="92"/>
      <c r="F109" s="92"/>
      <c r="G109" s="92"/>
      <c r="P109" s="107"/>
      <c r="Q109" s="108"/>
      <c r="R109" s="108"/>
      <c r="S109" s="108"/>
      <c r="T109" s="107"/>
    </row>
    <row r="110" spans="1:20" ht="14.25" thickTop="1" thickBot="1">
      <c r="B110" s="55">
        <v>1982</v>
      </c>
      <c r="C110" s="90">
        <f t="shared" si="18"/>
        <v>14</v>
      </c>
      <c r="D110" s="90">
        <f t="shared" si="18"/>
        <v>29</v>
      </c>
      <c r="E110" s="92"/>
      <c r="F110" s="92"/>
      <c r="G110" s="92"/>
      <c r="P110" s="107"/>
      <c r="Q110" s="108"/>
      <c r="R110" s="108"/>
      <c r="S110" s="108"/>
      <c r="T110" s="107"/>
    </row>
    <row r="111" spans="1:20" ht="14.25" thickTop="1" thickBot="1">
      <c r="B111" s="55">
        <v>1983</v>
      </c>
      <c r="C111" s="90">
        <f>C112+1</f>
        <v>13</v>
      </c>
      <c r="D111" s="90">
        <f>D112+1</f>
        <v>28</v>
      </c>
      <c r="E111" s="92"/>
      <c r="F111" s="92"/>
      <c r="G111" s="92"/>
      <c r="P111" s="107"/>
      <c r="Q111" s="108"/>
      <c r="R111" s="108"/>
      <c r="S111" s="108"/>
      <c r="T111" s="107"/>
    </row>
    <row r="112" spans="1:20" ht="14.25" thickTop="1" thickBot="1">
      <c r="B112" s="58">
        <v>1984</v>
      </c>
      <c r="C112" s="90">
        <f>StartingAge</f>
        <v>12</v>
      </c>
      <c r="D112" s="90">
        <f>(C34-B112)+1</f>
        <v>27</v>
      </c>
      <c r="E112" s="92"/>
      <c r="F112" s="92"/>
      <c r="G112" s="92"/>
      <c r="P112" s="107"/>
      <c r="Q112" s="108"/>
      <c r="R112" s="108"/>
      <c r="S112" s="108"/>
      <c r="T112" s="107"/>
    </row>
    <row r="113" spans="1:20" ht="13.5" thickTop="1">
      <c r="B113" s="54"/>
      <c r="C113" s="56"/>
      <c r="D113" s="56"/>
      <c r="E113" s="59"/>
      <c r="F113" s="59"/>
      <c r="G113" s="59"/>
      <c r="P113" s="107"/>
      <c r="Q113" s="108"/>
      <c r="R113" s="108"/>
      <c r="S113" s="108"/>
      <c r="T113" s="107"/>
    </row>
    <row r="114" spans="1:20">
      <c r="B114" s="54" t="s">
        <v>21</v>
      </c>
      <c r="C114" s="56"/>
      <c r="D114" s="56"/>
      <c r="E114" s="92"/>
      <c r="F114" s="92"/>
      <c r="G114" s="92"/>
      <c r="P114" s="107"/>
      <c r="Q114" s="108"/>
      <c r="R114" s="108"/>
      <c r="S114" s="108"/>
      <c r="T114" s="107"/>
    </row>
    <row r="115" spans="1:20">
      <c r="P115" s="107"/>
      <c r="Q115" s="108"/>
      <c r="R115" s="108"/>
      <c r="S115" s="108"/>
      <c r="T115" s="107"/>
    </row>
    <row r="116" spans="1:20">
      <c r="P116" s="107"/>
      <c r="Q116" s="108"/>
      <c r="R116" s="108"/>
      <c r="S116" s="108"/>
      <c r="T116" s="107"/>
    </row>
    <row r="117" spans="1:20">
      <c r="P117" s="107"/>
      <c r="Q117" s="108"/>
      <c r="R117" s="108"/>
      <c r="S117" s="108"/>
      <c r="T117" s="107"/>
    </row>
    <row r="118" spans="1:20">
      <c r="I118" s="24" t="s">
        <v>58</v>
      </c>
      <c r="P118" s="107"/>
      <c r="Q118" s="108" t="s">
        <v>152</v>
      </c>
      <c r="R118" s="108">
        <v>3</v>
      </c>
      <c r="S118" s="107"/>
      <c r="T118" s="107"/>
    </row>
    <row r="119" spans="1:20">
      <c r="A119" s="24"/>
      <c r="I119" s="24" t="s">
        <v>125</v>
      </c>
      <c r="P119" s="107"/>
      <c r="Q119" s="107"/>
      <c r="R119" s="107"/>
      <c r="S119" s="107"/>
      <c r="T119" s="107"/>
    </row>
    <row r="120" spans="1:20">
      <c r="B120" s="32"/>
      <c r="P120" s="107"/>
      <c r="Q120" s="107"/>
      <c r="R120" s="107"/>
      <c r="S120" s="107"/>
      <c r="T120" s="107"/>
    </row>
    <row r="121" spans="1:20" ht="25.5">
      <c r="B121" s="50" t="str">
        <f t="shared" ref="B121:G121" si="20">TEXT(COLUMN(),"(##)")</f>
        <v>(2)</v>
      </c>
      <c r="C121" s="50" t="str">
        <f t="shared" si="20"/>
        <v>(3)</v>
      </c>
      <c r="D121" s="50" t="str">
        <f t="shared" si="20"/>
        <v>(4)</v>
      </c>
      <c r="E121" s="50" t="str">
        <f t="shared" si="20"/>
        <v>(5)</v>
      </c>
      <c r="F121" s="50" t="str">
        <f t="shared" si="20"/>
        <v>(6)</v>
      </c>
      <c r="G121" s="50" t="str">
        <f t="shared" si="20"/>
        <v>(7)</v>
      </c>
      <c r="H121" s="81"/>
      <c r="I121" s="112" t="s">
        <v>105</v>
      </c>
      <c r="J121" s="112"/>
      <c r="K121" s="51" t="s">
        <v>120</v>
      </c>
      <c r="L121" s="76" t="s">
        <v>121</v>
      </c>
      <c r="P121" s="107"/>
      <c r="Q121" s="107"/>
      <c r="R121" s="107"/>
      <c r="S121" s="107"/>
      <c r="T121" s="107"/>
    </row>
    <row r="122" spans="1:20">
      <c r="B122" s="51" t="s">
        <v>34</v>
      </c>
      <c r="C122" s="51" t="s">
        <v>96</v>
      </c>
      <c r="D122" s="51" t="s">
        <v>97</v>
      </c>
      <c r="E122" s="51" t="s">
        <v>98</v>
      </c>
      <c r="F122" s="51" t="s">
        <v>98</v>
      </c>
      <c r="G122" s="51" t="s">
        <v>99</v>
      </c>
      <c r="H122" s="82"/>
      <c r="I122" s="51" t="str">
        <f>TEXT(ABS(G121-1),"(##)")</f>
        <v>(8)</v>
      </c>
      <c r="J122" s="51" t="str">
        <f>TEXT(ABS(I122-1),"(##)")</f>
        <v>(9)</v>
      </c>
      <c r="K122" s="51" t="str">
        <f>TEXT(ABS(J122-1),"(##)")</f>
        <v>(10)</v>
      </c>
      <c r="L122" s="51" t="str">
        <f>TEXT(ABS(K122-1),"(##)")</f>
        <v>(11)</v>
      </c>
      <c r="P122" s="107"/>
      <c r="Q122" s="107"/>
      <c r="R122" s="107"/>
      <c r="S122" s="107"/>
      <c r="T122" s="107"/>
    </row>
    <row r="123" spans="1:20" ht="38.25">
      <c r="B123" s="52"/>
      <c r="C123" s="52"/>
      <c r="D123" s="52"/>
      <c r="E123" s="53" t="s">
        <v>100</v>
      </c>
      <c r="F123" s="53" t="s">
        <v>101</v>
      </c>
      <c r="G123" s="53" t="s">
        <v>102</v>
      </c>
      <c r="H123" s="83"/>
      <c r="I123" s="77" t="s">
        <v>122</v>
      </c>
      <c r="J123" s="77" t="s">
        <v>123</v>
      </c>
      <c r="K123" s="77" t="str">
        <f>"[(Ult)-"&amp;J122 &amp; "] / ["&amp;J122&amp;"-"&amp;I122&amp;"]"</f>
        <v>[(Ult)-(9)] / [(9)-(8)]</v>
      </c>
      <c r="L123" s="52" t="str">
        <f>G121&amp;" * "&amp;K122</f>
        <v>(7) * (10)</v>
      </c>
    </row>
    <row r="124" spans="1:20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1:20" ht="13.5" thickBot="1">
      <c r="B125" s="55">
        <v>1977</v>
      </c>
      <c r="C125" s="84">
        <f t="shared" ref="C125:G131" si="21">C105</f>
        <v>19</v>
      </c>
      <c r="D125" s="84">
        <f t="shared" si="21"/>
        <v>34</v>
      </c>
      <c r="E125" s="109">
        <f t="shared" si="21"/>
        <v>0</v>
      </c>
      <c r="F125" s="109">
        <f t="shared" si="21"/>
        <v>0</v>
      </c>
      <c r="G125" s="109">
        <f t="shared" si="21"/>
        <v>0</v>
      </c>
      <c r="H125" s="54"/>
      <c r="I125" s="194">
        <f t="shared" ref="I125:J131" si="22">VLOOKUP(C125,$C$61:$M$94,IF($I$121="Weibull",10, IF($I$121="Gompertz", 11)),FALSE)</f>
        <v>0</v>
      </c>
      <c r="J125" s="194">
        <f t="shared" si="22"/>
        <v>0</v>
      </c>
      <c r="K125" s="88"/>
      <c r="L125" s="87"/>
    </row>
    <row r="126" spans="1:20" ht="14.25" thickTop="1" thickBot="1">
      <c r="B126" s="55">
        <v>1978</v>
      </c>
      <c r="C126" s="84">
        <f t="shared" si="21"/>
        <v>18</v>
      </c>
      <c r="D126" s="84">
        <f t="shared" si="21"/>
        <v>33</v>
      </c>
      <c r="E126" s="109">
        <f t="shared" si="21"/>
        <v>0</v>
      </c>
      <c r="F126" s="109">
        <f t="shared" si="21"/>
        <v>0</v>
      </c>
      <c r="G126" s="109">
        <f t="shared" si="21"/>
        <v>0</v>
      </c>
      <c r="H126" s="54"/>
      <c r="I126" s="194">
        <f t="shared" si="22"/>
        <v>0</v>
      </c>
      <c r="J126" s="194">
        <f t="shared" si="22"/>
        <v>0</v>
      </c>
      <c r="K126" s="88"/>
      <c r="L126" s="87"/>
    </row>
    <row r="127" spans="1:20" ht="14.25" thickTop="1" thickBot="1">
      <c r="B127" s="55">
        <v>1979</v>
      </c>
      <c r="C127" s="84">
        <f t="shared" si="21"/>
        <v>17</v>
      </c>
      <c r="D127" s="84">
        <f t="shared" si="21"/>
        <v>32</v>
      </c>
      <c r="E127" s="109">
        <f t="shared" si="21"/>
        <v>0</v>
      </c>
      <c r="F127" s="109">
        <f t="shared" si="21"/>
        <v>0</v>
      </c>
      <c r="G127" s="109">
        <f t="shared" si="21"/>
        <v>0</v>
      </c>
      <c r="H127" s="54"/>
      <c r="I127" s="194">
        <f t="shared" si="22"/>
        <v>0</v>
      </c>
      <c r="J127" s="194">
        <f t="shared" si="22"/>
        <v>0</v>
      </c>
      <c r="K127" s="88"/>
      <c r="L127" s="87"/>
    </row>
    <row r="128" spans="1:20" ht="14.25" thickTop="1" thickBot="1">
      <c r="B128" s="55">
        <v>1980</v>
      </c>
      <c r="C128" s="84">
        <f t="shared" si="21"/>
        <v>16</v>
      </c>
      <c r="D128" s="84">
        <f t="shared" si="21"/>
        <v>31</v>
      </c>
      <c r="E128" s="109">
        <f t="shared" ca="1" si="21"/>
        <v>5034855.2233645599</v>
      </c>
      <c r="F128" s="109">
        <f t="shared" si="21"/>
        <v>5500332.4360821815</v>
      </c>
      <c r="G128" s="109">
        <f t="shared" ca="1" si="21"/>
        <v>465477.21271762159</v>
      </c>
      <c r="H128" s="54"/>
      <c r="I128" s="194">
        <f t="shared" si="22"/>
        <v>0</v>
      </c>
      <c r="J128" s="194">
        <f t="shared" si="22"/>
        <v>0</v>
      </c>
      <c r="K128" s="88"/>
      <c r="L128" s="87"/>
    </row>
    <row r="129" spans="2:12" ht="14.25" thickTop="1" thickBot="1">
      <c r="B129" s="55">
        <v>1981</v>
      </c>
      <c r="C129" s="84">
        <f t="shared" si="21"/>
        <v>15</v>
      </c>
      <c r="D129" s="84">
        <f t="shared" si="21"/>
        <v>30</v>
      </c>
      <c r="E129" s="109">
        <f t="shared" si="21"/>
        <v>0</v>
      </c>
      <c r="F129" s="109">
        <f t="shared" si="21"/>
        <v>0</v>
      </c>
      <c r="G129" s="109">
        <f t="shared" si="21"/>
        <v>0</v>
      </c>
      <c r="H129" s="54"/>
      <c r="I129" s="194">
        <f t="shared" si="22"/>
        <v>0</v>
      </c>
      <c r="J129" s="194">
        <f t="shared" si="22"/>
        <v>0</v>
      </c>
      <c r="K129" s="88"/>
      <c r="L129" s="87"/>
    </row>
    <row r="130" spans="2:12" ht="14.25" thickTop="1" thickBot="1">
      <c r="B130" s="55">
        <v>1982</v>
      </c>
      <c r="C130" s="84">
        <f t="shared" si="21"/>
        <v>14</v>
      </c>
      <c r="D130" s="84">
        <f t="shared" si="21"/>
        <v>29</v>
      </c>
      <c r="E130" s="109">
        <f t="shared" si="21"/>
        <v>0</v>
      </c>
      <c r="F130" s="109">
        <f t="shared" si="21"/>
        <v>0</v>
      </c>
      <c r="G130" s="109">
        <f t="shared" si="21"/>
        <v>0</v>
      </c>
      <c r="H130" s="54"/>
      <c r="I130" s="194">
        <f t="shared" si="22"/>
        <v>0</v>
      </c>
      <c r="J130" s="194">
        <f t="shared" si="22"/>
        <v>0</v>
      </c>
      <c r="K130" s="88"/>
      <c r="L130" s="87"/>
    </row>
    <row r="131" spans="2:12" ht="14.25" thickTop="1" thickBot="1">
      <c r="B131" s="55">
        <v>1983</v>
      </c>
      <c r="C131" s="84">
        <f t="shared" si="21"/>
        <v>13</v>
      </c>
      <c r="D131" s="84">
        <f t="shared" si="21"/>
        <v>28</v>
      </c>
      <c r="E131" s="109">
        <f t="shared" si="21"/>
        <v>0</v>
      </c>
      <c r="F131" s="109">
        <f t="shared" si="21"/>
        <v>0</v>
      </c>
      <c r="G131" s="109">
        <f t="shared" si="21"/>
        <v>0</v>
      </c>
      <c r="H131" s="54"/>
      <c r="I131" s="194">
        <f t="shared" si="22"/>
        <v>0</v>
      </c>
      <c r="J131" s="194">
        <f t="shared" si="22"/>
        <v>0</v>
      </c>
      <c r="K131" s="88"/>
      <c r="L131" s="87"/>
    </row>
    <row r="132" spans="2:12" ht="14.25" thickTop="1" thickBot="1">
      <c r="B132" s="58">
        <v>1984</v>
      </c>
      <c r="C132" s="84">
        <f>IF('1) Incremental Method'!StartingAge="","",'1) Incremental Method'!StartingAge)</f>
        <v>12</v>
      </c>
      <c r="D132" s="84">
        <f>D112</f>
        <v>27</v>
      </c>
      <c r="E132" s="109">
        <f>E112</f>
        <v>0</v>
      </c>
      <c r="F132" s="109">
        <f>F112</f>
        <v>0</v>
      </c>
      <c r="G132" s="109">
        <f>G112</f>
        <v>0</v>
      </c>
      <c r="H132" s="54"/>
      <c r="I132" s="194">
        <f>IF(C132="","",VLOOKUP(C132,$C$61:$M$94,IF($I$121="Weibull",10, IF($I$121="Gompertz", 11)),FALSE))</f>
        <v>0</v>
      </c>
      <c r="J132" s="194">
        <f>VLOOKUP(D132,$C$61:$M$94,IF($I$121="Weibull",10, IF($I$121="Gompertz", 11)),FALSE)</f>
        <v>0</v>
      </c>
      <c r="K132" s="88"/>
      <c r="L132" s="87"/>
    </row>
    <row r="133" spans="2:12" ht="13.5" thickTop="1">
      <c r="B133" s="54"/>
      <c r="C133" s="56"/>
      <c r="D133" s="56"/>
      <c r="E133" s="110"/>
      <c r="F133" s="110"/>
      <c r="G133" s="110"/>
      <c r="H133" s="54"/>
      <c r="I133" s="79"/>
      <c r="J133" s="78"/>
      <c r="K133" s="80"/>
      <c r="L133" s="57"/>
    </row>
    <row r="134" spans="2:12">
      <c r="B134" s="54" t="s">
        <v>21</v>
      </c>
      <c r="C134" s="56"/>
      <c r="D134" s="56"/>
      <c r="E134" s="109">
        <f>E114</f>
        <v>0</v>
      </c>
      <c r="F134" s="109">
        <f>F114</f>
        <v>0</v>
      </c>
      <c r="G134" s="109">
        <f>G114</f>
        <v>0</v>
      </c>
      <c r="H134" s="54"/>
      <c r="I134" s="79" t="s">
        <v>124</v>
      </c>
      <c r="J134" s="86">
        <f>IF($I$121="Weibull", $G$64-$G$65, IF($I$121="Gompertz", $G$76+$G$79))</f>
        <v>0</v>
      </c>
      <c r="K134" s="80"/>
      <c r="L134" s="111">
        <f>SUM(L125:L132)</f>
        <v>0</v>
      </c>
    </row>
  </sheetData>
  <conditionalFormatting sqref="D6:AH13 C4:C13 C2 AI6:AI7 AJ6 D4:AJ4">
    <cfRule type="cellIs" dxfId="5" priority="2" stopIfTrue="1" operator="equal">
      <formula>0</formula>
    </cfRule>
  </conditionalFormatting>
  <conditionalFormatting sqref="C35:AI35">
    <cfRule type="cellIs" dxfId="4" priority="1" operator="equal">
      <formula>$C$33</formula>
    </cfRule>
  </conditionalFormatting>
  <dataValidations disablePrompts="1" count="2">
    <dataValidation type="list" allowBlank="1" showInputMessage="1" showErrorMessage="1" prompt="Select Distribution" sqref="I121">
      <formula1>$S$95:$S$96</formula1>
    </dataValidation>
    <dataValidation type="list" allowBlank="1" showInputMessage="1" showErrorMessage="1" prompt="Select Method" sqref="G59">
      <formula1>$Q$95:$Q$118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J134"/>
  <sheetViews>
    <sheetView topLeftCell="A39" zoomScale="70" zoomScaleNormal="70" workbookViewId="0">
      <selection activeCell="A76" sqref="A76"/>
    </sheetView>
  </sheetViews>
  <sheetFormatPr defaultRowHeight="12.75" outlineLevelCol="1"/>
  <cols>
    <col min="1" max="1" width="13.5703125" bestFit="1" customWidth="1"/>
    <col min="2" max="2" width="22.85546875" bestFit="1" customWidth="1"/>
    <col min="3" max="4" width="14.28515625" customWidth="1"/>
    <col min="5" max="5" width="17" customWidth="1"/>
    <col min="6" max="6" width="16.42578125" customWidth="1"/>
    <col min="7" max="7" width="15.5703125" customWidth="1"/>
    <col min="8" max="14" width="14.28515625" customWidth="1"/>
    <col min="15" max="28" width="14.28515625" hidden="1" customWidth="1" outlineLevel="1"/>
    <col min="29" max="29" width="14.28515625" customWidth="1" collapsed="1"/>
    <col min="30" max="36" width="14.28515625" customWidth="1"/>
  </cols>
  <sheetData>
    <row r="1" spans="1:36" ht="63.75">
      <c r="A1" s="198" t="s">
        <v>211</v>
      </c>
    </row>
    <row r="2" spans="1:36">
      <c r="A2" s="24"/>
      <c r="B2" s="98" t="s">
        <v>132</v>
      </c>
      <c r="C2" s="39">
        <v>12</v>
      </c>
      <c r="D2" s="39">
        <f t="shared" ref="D2:AH2" si="0">C2+12</f>
        <v>24</v>
      </c>
      <c r="E2" s="39">
        <f t="shared" si="0"/>
        <v>36</v>
      </c>
      <c r="F2" s="39">
        <f t="shared" si="0"/>
        <v>48</v>
      </c>
      <c r="G2" s="39">
        <f t="shared" si="0"/>
        <v>60</v>
      </c>
      <c r="H2" s="39">
        <f t="shared" si="0"/>
        <v>72</v>
      </c>
      <c r="I2" s="39">
        <f>H2+12</f>
        <v>84</v>
      </c>
      <c r="J2" s="39">
        <f t="shared" si="0"/>
        <v>96</v>
      </c>
      <c r="K2" s="39">
        <f t="shared" si="0"/>
        <v>108</v>
      </c>
      <c r="L2" s="39">
        <f t="shared" si="0"/>
        <v>120</v>
      </c>
      <c r="M2" s="39">
        <f t="shared" si="0"/>
        <v>132</v>
      </c>
      <c r="N2" s="39">
        <f t="shared" si="0"/>
        <v>144</v>
      </c>
      <c r="O2" s="39">
        <f t="shared" si="0"/>
        <v>156</v>
      </c>
      <c r="P2" s="39">
        <f t="shared" si="0"/>
        <v>168</v>
      </c>
      <c r="Q2" s="39">
        <f t="shared" si="0"/>
        <v>180</v>
      </c>
      <c r="R2" s="39">
        <f t="shared" si="0"/>
        <v>192</v>
      </c>
      <c r="S2" s="39">
        <f t="shared" si="0"/>
        <v>204</v>
      </c>
      <c r="T2" s="39">
        <f t="shared" si="0"/>
        <v>216</v>
      </c>
      <c r="U2" s="39">
        <f t="shared" si="0"/>
        <v>228</v>
      </c>
      <c r="V2" s="39">
        <f t="shared" si="0"/>
        <v>240</v>
      </c>
      <c r="W2" s="39">
        <f t="shared" si="0"/>
        <v>252</v>
      </c>
      <c r="X2" s="39">
        <f t="shared" si="0"/>
        <v>264</v>
      </c>
      <c r="Y2" s="39">
        <f t="shared" si="0"/>
        <v>276</v>
      </c>
      <c r="Z2" s="39">
        <f t="shared" si="0"/>
        <v>288</v>
      </c>
      <c r="AA2" s="39">
        <f t="shared" si="0"/>
        <v>300</v>
      </c>
      <c r="AB2" s="39">
        <f t="shared" si="0"/>
        <v>312</v>
      </c>
      <c r="AC2" s="39">
        <f t="shared" si="0"/>
        <v>324</v>
      </c>
      <c r="AD2" s="39">
        <f t="shared" si="0"/>
        <v>336</v>
      </c>
      <c r="AE2" s="39">
        <f t="shared" si="0"/>
        <v>348</v>
      </c>
      <c r="AF2" s="39">
        <f t="shared" si="0"/>
        <v>360</v>
      </c>
      <c r="AG2" s="39">
        <f t="shared" si="0"/>
        <v>372</v>
      </c>
      <c r="AH2" s="39">
        <f t="shared" si="0"/>
        <v>384</v>
      </c>
      <c r="AI2" s="102">
        <f t="shared" ref="AI2:AJ2" si="1">AH2+12</f>
        <v>396</v>
      </c>
      <c r="AJ2" s="39">
        <f t="shared" si="1"/>
        <v>408</v>
      </c>
    </row>
    <row r="3" spans="1:36">
      <c r="B3" s="24" t="s">
        <v>139</v>
      </c>
    </row>
    <row r="4" spans="1:36">
      <c r="B4" s="36" t="s">
        <v>32</v>
      </c>
      <c r="C4" s="36">
        <f t="shared" ref="C4:AH4" si="2">C2/12</f>
        <v>1</v>
      </c>
      <c r="D4" s="36">
        <f t="shared" si="2"/>
        <v>2</v>
      </c>
      <c r="E4" s="36">
        <f t="shared" si="2"/>
        <v>3</v>
      </c>
      <c r="F4" s="36">
        <f t="shared" si="2"/>
        <v>4</v>
      </c>
      <c r="G4" s="36">
        <f t="shared" si="2"/>
        <v>5</v>
      </c>
      <c r="H4" s="36">
        <f t="shared" si="2"/>
        <v>6</v>
      </c>
      <c r="I4" s="36">
        <f t="shared" si="2"/>
        <v>7</v>
      </c>
      <c r="J4" s="36">
        <f t="shared" si="2"/>
        <v>8</v>
      </c>
      <c r="K4" s="36">
        <f t="shared" si="2"/>
        <v>9</v>
      </c>
      <c r="L4" s="36">
        <f t="shared" si="2"/>
        <v>10</v>
      </c>
      <c r="M4" s="36">
        <f t="shared" si="2"/>
        <v>11</v>
      </c>
      <c r="N4" s="40">
        <f t="shared" si="2"/>
        <v>12</v>
      </c>
      <c r="O4" s="36">
        <f t="shared" si="2"/>
        <v>13</v>
      </c>
      <c r="P4" s="36">
        <f t="shared" si="2"/>
        <v>14</v>
      </c>
      <c r="Q4" s="36">
        <f t="shared" si="2"/>
        <v>15</v>
      </c>
      <c r="R4" s="36">
        <f t="shared" si="2"/>
        <v>16</v>
      </c>
      <c r="S4" s="36">
        <f t="shared" si="2"/>
        <v>17</v>
      </c>
      <c r="T4" s="36">
        <f t="shared" si="2"/>
        <v>18</v>
      </c>
      <c r="U4" s="36">
        <f t="shared" si="2"/>
        <v>19</v>
      </c>
      <c r="V4" s="36">
        <f t="shared" si="2"/>
        <v>20</v>
      </c>
      <c r="W4" s="36">
        <f t="shared" si="2"/>
        <v>21</v>
      </c>
      <c r="X4" s="36">
        <f t="shared" si="2"/>
        <v>22</v>
      </c>
      <c r="Y4" s="36">
        <f t="shared" si="2"/>
        <v>23</v>
      </c>
      <c r="Z4" s="36">
        <f t="shared" si="2"/>
        <v>24</v>
      </c>
      <c r="AA4" s="36">
        <f t="shared" si="2"/>
        <v>25</v>
      </c>
      <c r="AB4" s="36">
        <f t="shared" si="2"/>
        <v>26</v>
      </c>
      <c r="AC4" s="42">
        <f t="shared" si="2"/>
        <v>27</v>
      </c>
      <c r="AD4" s="36">
        <f t="shared" si="2"/>
        <v>28</v>
      </c>
      <c r="AE4" s="36">
        <f t="shared" si="2"/>
        <v>29</v>
      </c>
      <c r="AF4" s="36">
        <f t="shared" si="2"/>
        <v>30</v>
      </c>
      <c r="AG4" s="36">
        <f t="shared" si="2"/>
        <v>31</v>
      </c>
      <c r="AH4" s="36">
        <f t="shared" si="2"/>
        <v>32</v>
      </c>
      <c r="AI4" s="36">
        <f t="shared" ref="AI4:AJ4" si="3">AI2/12</f>
        <v>33</v>
      </c>
      <c r="AJ4" s="36">
        <f t="shared" si="3"/>
        <v>34</v>
      </c>
    </row>
    <row r="5" spans="1:36">
      <c r="B5" s="37" t="s">
        <v>34</v>
      </c>
      <c r="C5" s="37" t="s">
        <v>59</v>
      </c>
      <c r="D5" s="37" t="s">
        <v>60</v>
      </c>
      <c r="E5" s="37" t="s">
        <v>61</v>
      </c>
      <c r="F5" s="37" t="s">
        <v>62</v>
      </c>
      <c r="G5" s="37" t="s">
        <v>63</v>
      </c>
      <c r="H5" s="37" t="s">
        <v>64</v>
      </c>
      <c r="I5" s="37" t="s">
        <v>65</v>
      </c>
      <c r="J5" s="37" t="s">
        <v>66</v>
      </c>
      <c r="K5" s="37" t="s">
        <v>67</v>
      </c>
      <c r="L5" s="37" t="s">
        <v>68</v>
      </c>
      <c r="M5" s="37" t="s">
        <v>69</v>
      </c>
      <c r="N5" s="41" t="s">
        <v>70</v>
      </c>
      <c r="O5" s="37" t="s">
        <v>71</v>
      </c>
      <c r="P5" s="37" t="s">
        <v>72</v>
      </c>
      <c r="Q5" s="37" t="s">
        <v>73</v>
      </c>
      <c r="R5" s="37" t="s">
        <v>74</v>
      </c>
      <c r="S5" s="37" t="s">
        <v>75</v>
      </c>
      <c r="T5" s="37" t="s">
        <v>76</v>
      </c>
      <c r="U5" s="37" t="s">
        <v>77</v>
      </c>
      <c r="V5" s="37" t="s">
        <v>78</v>
      </c>
      <c r="W5" s="37" t="s">
        <v>79</v>
      </c>
      <c r="X5" s="37" t="s">
        <v>80</v>
      </c>
      <c r="Y5" s="37" t="s">
        <v>81</v>
      </c>
      <c r="Z5" s="37" t="s">
        <v>82</v>
      </c>
      <c r="AA5" s="37" t="s">
        <v>83</v>
      </c>
      <c r="AB5" s="37" t="s">
        <v>84</v>
      </c>
      <c r="AC5" s="43" t="s">
        <v>85</v>
      </c>
      <c r="AD5" s="37" t="s">
        <v>86</v>
      </c>
      <c r="AE5" s="37" t="s">
        <v>87</v>
      </c>
      <c r="AF5" s="37" t="s">
        <v>88</v>
      </c>
      <c r="AG5" s="37" t="s">
        <v>89</v>
      </c>
      <c r="AH5" s="37" t="s">
        <v>90</v>
      </c>
      <c r="AI5" t="str">
        <f>AH2&amp;" - "&amp;AI2</f>
        <v>384 - 396</v>
      </c>
      <c r="AJ5" t="str">
        <f>AI2&amp;" - "&amp;AJ2</f>
        <v>396 - 408</v>
      </c>
    </row>
    <row r="6" spans="1:36">
      <c r="B6" s="38">
        <v>1977</v>
      </c>
      <c r="C6" s="44"/>
      <c r="D6" s="44"/>
      <c r="E6" s="44"/>
      <c r="F6" s="44"/>
      <c r="G6" s="44"/>
      <c r="H6" s="44"/>
      <c r="I6" s="44"/>
      <c r="J6" s="44">
        <v>25958.466588000003</v>
      </c>
      <c r="K6" s="44">
        <v>70741.712860359985</v>
      </c>
      <c r="L6" s="44">
        <v>9522.0205391900017</v>
      </c>
      <c r="M6" s="44">
        <v>38054.070125040002</v>
      </c>
      <c r="N6" s="44">
        <v>-6616.3494627099999</v>
      </c>
      <c r="O6" s="44">
        <v>83.035720569999995</v>
      </c>
      <c r="P6" s="44">
        <v>1178.11980578</v>
      </c>
      <c r="Q6" s="44">
        <v>-338.34311543999956</v>
      </c>
      <c r="R6" s="44">
        <v>3024.4049537600004</v>
      </c>
      <c r="S6" s="44">
        <v>18538.96545887</v>
      </c>
      <c r="T6" s="44">
        <v>7568.7786477500003</v>
      </c>
      <c r="U6" s="101">
        <v>0</v>
      </c>
      <c r="V6" s="44">
        <v>281.66000000000003</v>
      </c>
      <c r="W6" s="44">
        <v>4146.76</v>
      </c>
      <c r="X6" s="44">
        <v>223.27</v>
      </c>
      <c r="Y6" s="44">
        <v>5526.682116</v>
      </c>
      <c r="Z6" s="44">
        <v>12839.1</v>
      </c>
      <c r="AA6" s="44">
        <v>361.95</v>
      </c>
      <c r="AB6" s="101">
        <v>0</v>
      </c>
      <c r="AC6" s="44">
        <v>-800.28</v>
      </c>
      <c r="AD6" s="44">
        <v>1498.33</v>
      </c>
      <c r="AE6" s="101">
        <v>0</v>
      </c>
      <c r="AF6" s="44">
        <v>412.40000000000003</v>
      </c>
      <c r="AG6" s="44">
        <v>1376.06</v>
      </c>
      <c r="AH6" s="44">
        <v>397.05</v>
      </c>
      <c r="AI6" s="101">
        <v>0</v>
      </c>
      <c r="AJ6" s="101">
        <v>0</v>
      </c>
    </row>
    <row r="7" spans="1:36">
      <c r="B7" s="38">
        <v>1978</v>
      </c>
      <c r="C7" s="44"/>
      <c r="D7" s="44"/>
      <c r="E7" s="44"/>
      <c r="F7" s="44"/>
      <c r="G7" s="44"/>
      <c r="H7" s="44"/>
      <c r="I7" s="44">
        <v>39942.789184000001</v>
      </c>
      <c r="J7" s="44">
        <v>49405.067919059999</v>
      </c>
      <c r="K7" s="44">
        <v>26718.430744640002</v>
      </c>
      <c r="L7" s="44">
        <v>14275.040089630002</v>
      </c>
      <c r="M7" s="44">
        <v>9231.0514013299999</v>
      </c>
      <c r="N7" s="44">
        <v>9525.36466458</v>
      </c>
      <c r="O7" s="44">
        <v>6328.7045940799999</v>
      </c>
      <c r="P7" s="44">
        <v>31419.284552519992</v>
      </c>
      <c r="Q7" s="44">
        <v>25578.660214180003</v>
      </c>
      <c r="R7" s="44">
        <v>66980.891428739997</v>
      </c>
      <c r="S7" s="44">
        <v>-996.05798885999991</v>
      </c>
      <c r="T7" s="44">
        <v>4895.6499999999996</v>
      </c>
      <c r="U7" s="44">
        <v>1277.0900000000001</v>
      </c>
      <c r="V7" s="44">
        <v>1823.3000000000002</v>
      </c>
      <c r="W7" s="44">
        <v>3821.8300000000004</v>
      </c>
      <c r="X7" s="44">
        <v>8821.880000000001</v>
      </c>
      <c r="Y7" s="44">
        <v>13269.02</v>
      </c>
      <c r="Z7" s="44">
        <v>390.68</v>
      </c>
      <c r="AA7" s="44">
        <v>2124.75</v>
      </c>
      <c r="AB7" s="44">
        <v>1609.52</v>
      </c>
      <c r="AC7" s="44">
        <v>1312.07</v>
      </c>
      <c r="AD7" s="44">
        <v>157.82</v>
      </c>
      <c r="AE7" s="44">
        <v>324.75</v>
      </c>
      <c r="AF7" s="44">
        <v>1015.75</v>
      </c>
      <c r="AG7" s="101">
        <v>0</v>
      </c>
      <c r="AH7" s="44">
        <v>8340.68</v>
      </c>
      <c r="AI7" s="101">
        <v>0</v>
      </c>
      <c r="AJ7" s="16"/>
    </row>
    <row r="8" spans="1:36">
      <c r="B8" s="38">
        <v>1979</v>
      </c>
      <c r="C8" s="44"/>
      <c r="D8" s="44"/>
      <c r="E8" s="44"/>
      <c r="F8" s="44"/>
      <c r="G8" s="44"/>
      <c r="H8" s="44">
        <v>396576.00886000018</v>
      </c>
      <c r="I8" s="44">
        <v>463453.66061707994</v>
      </c>
      <c r="J8" s="44">
        <v>412533.79937289003</v>
      </c>
      <c r="K8" s="44">
        <v>170471.03841019998</v>
      </c>
      <c r="L8" s="44">
        <v>-5590.03656873</v>
      </c>
      <c r="M8" s="44">
        <v>78228.262374179991</v>
      </c>
      <c r="N8" s="44">
        <v>38199.943736580004</v>
      </c>
      <c r="O8" s="44">
        <v>20668.110853520033</v>
      </c>
      <c r="P8" s="44">
        <v>25424.877621</v>
      </c>
      <c r="Q8" s="44">
        <v>15811.73632648983</v>
      </c>
      <c r="R8" s="44">
        <v>27769.993707999998</v>
      </c>
      <c r="S8" s="44">
        <v>4455.1571919999988</v>
      </c>
      <c r="T8" s="44">
        <v>1314.359168</v>
      </c>
      <c r="U8" s="44">
        <v>8334.3255919999992</v>
      </c>
      <c r="V8" s="44">
        <v>43122.190208</v>
      </c>
      <c r="W8" s="44">
        <v>72033.593556259992</v>
      </c>
      <c r="X8" s="44">
        <v>44130.543680000002</v>
      </c>
      <c r="Y8" s="44">
        <v>1394.3600000000001</v>
      </c>
      <c r="Z8" s="44">
        <v>2681.5600000000009</v>
      </c>
      <c r="AA8" s="44">
        <v>296907.07</v>
      </c>
      <c r="AB8" s="44">
        <v>1498.9700000000003</v>
      </c>
      <c r="AC8" s="101">
        <v>0</v>
      </c>
      <c r="AD8" s="44">
        <v>356.78000000000003</v>
      </c>
      <c r="AE8" s="44">
        <v>237.9</v>
      </c>
      <c r="AF8" s="44">
        <v>261</v>
      </c>
      <c r="AG8" s="44">
        <v>1905.21</v>
      </c>
      <c r="AH8" s="44">
        <v>163.72999999999999</v>
      </c>
      <c r="AI8" s="16"/>
      <c r="AJ8" s="16"/>
    </row>
    <row r="9" spans="1:36">
      <c r="B9" s="38">
        <v>1980</v>
      </c>
      <c r="C9" s="44"/>
      <c r="D9" s="44"/>
      <c r="E9" s="44"/>
      <c r="F9" s="44"/>
      <c r="G9" s="44">
        <v>2119519.2726120008</v>
      </c>
      <c r="H9" s="44">
        <v>599167.06794200989</v>
      </c>
      <c r="I9" s="44">
        <v>470831.69980148983</v>
      </c>
      <c r="J9" s="44">
        <v>607815.94928881014</v>
      </c>
      <c r="K9" s="44">
        <v>210732.35475260002</v>
      </c>
      <c r="L9" s="44">
        <v>261900.99429967001</v>
      </c>
      <c r="M9" s="44">
        <v>268911.66736228997</v>
      </c>
      <c r="N9" s="44">
        <v>211724.07816141029</v>
      </c>
      <c r="O9" s="44">
        <v>136856.33512102001</v>
      </c>
      <c r="P9" s="44">
        <v>104303.78833533009</v>
      </c>
      <c r="Q9" s="44">
        <v>-15091.893056000001</v>
      </c>
      <c r="R9" s="44">
        <v>58183.908743929998</v>
      </c>
      <c r="S9" s="44">
        <v>10810.611479999998</v>
      </c>
      <c r="T9" s="44">
        <v>37712.857725540001</v>
      </c>
      <c r="U9" s="44">
        <v>25006.023340019994</v>
      </c>
      <c r="V9" s="44">
        <v>143709.35106800002</v>
      </c>
      <c r="W9" s="44">
        <v>123076.01839702</v>
      </c>
      <c r="X9" s="44">
        <v>8765.0229360000012</v>
      </c>
      <c r="Y9" s="44">
        <v>5126.0386407699998</v>
      </c>
      <c r="Z9" s="44">
        <v>15194.978021429999</v>
      </c>
      <c r="AA9" s="44">
        <v>13316.38</v>
      </c>
      <c r="AB9" s="44">
        <v>17777.926176000001</v>
      </c>
      <c r="AC9" s="44">
        <v>59253.953732839997</v>
      </c>
      <c r="AD9" s="44">
        <v>202.69</v>
      </c>
      <c r="AE9" s="44">
        <v>-66.849999999999994</v>
      </c>
      <c r="AF9" s="44">
        <v>5592.2111999999997</v>
      </c>
      <c r="AG9" s="101">
        <v>0</v>
      </c>
      <c r="AH9" s="44"/>
      <c r="AI9" s="16"/>
      <c r="AJ9" s="16"/>
    </row>
    <row r="10" spans="1:36">
      <c r="B10" s="38">
        <v>1981</v>
      </c>
      <c r="C10" s="44"/>
      <c r="D10" s="44"/>
      <c r="E10" s="44"/>
      <c r="F10" s="44">
        <v>1853180.8000319984</v>
      </c>
      <c r="G10" s="44">
        <v>353677.30518824002</v>
      </c>
      <c r="H10" s="44">
        <v>255193.49106675995</v>
      </c>
      <c r="I10" s="44">
        <v>347415.07489795005</v>
      </c>
      <c r="J10" s="44">
        <v>212864.45287846006</v>
      </c>
      <c r="K10" s="44">
        <v>160555.23679576002</v>
      </c>
      <c r="L10" s="44">
        <v>110486.20996594001</v>
      </c>
      <c r="M10" s="44">
        <v>46872.610183880111</v>
      </c>
      <c r="N10" s="44">
        <v>110520.72228587999</v>
      </c>
      <c r="O10" s="44">
        <v>403956.98874358996</v>
      </c>
      <c r="P10" s="44">
        <v>85498.584541439996</v>
      </c>
      <c r="Q10" s="44">
        <v>16801.794507999999</v>
      </c>
      <c r="R10" s="44">
        <v>49617.503048020008</v>
      </c>
      <c r="S10" s="44">
        <v>4482.0897752600004</v>
      </c>
      <c r="T10" s="44">
        <v>31896.650280000002</v>
      </c>
      <c r="U10" s="44">
        <v>12794.173488</v>
      </c>
      <c r="V10" s="44">
        <v>40958.408547999999</v>
      </c>
      <c r="W10" s="44">
        <v>9688.1178049800001</v>
      </c>
      <c r="X10" s="44">
        <v>-2167.9788320000007</v>
      </c>
      <c r="Y10" s="44">
        <v>62003.764272</v>
      </c>
      <c r="Z10" s="44">
        <v>3070.3199999999997</v>
      </c>
      <c r="AA10" s="44">
        <v>11719.8</v>
      </c>
      <c r="AB10" s="44">
        <v>1433.9644479999997</v>
      </c>
      <c r="AC10" s="44">
        <v>-215.39975999999996</v>
      </c>
      <c r="AD10" s="44">
        <v>6384.11162358</v>
      </c>
      <c r="AE10" s="44">
        <v>14088.451971999999</v>
      </c>
      <c r="AF10" s="44">
        <v>36565.800000000003</v>
      </c>
      <c r="AG10" s="44"/>
      <c r="AH10" s="44"/>
      <c r="AI10" s="16"/>
      <c r="AJ10" s="16"/>
    </row>
    <row r="11" spans="1:36">
      <c r="B11" s="38">
        <v>1982</v>
      </c>
      <c r="C11" s="44"/>
      <c r="D11" s="44"/>
      <c r="E11" s="44">
        <v>6629406.537751996</v>
      </c>
      <c r="F11" s="44">
        <v>2529812.2842678111</v>
      </c>
      <c r="G11" s="44">
        <v>817063.66899587004</v>
      </c>
      <c r="H11" s="44">
        <v>231084.94861972</v>
      </c>
      <c r="I11" s="44" t="s">
        <v>218</v>
      </c>
      <c r="J11" s="44">
        <v>327229.64452118997</v>
      </c>
      <c r="K11" s="44">
        <v>139788.76917398002</v>
      </c>
      <c r="L11" s="44">
        <v>224155.59991710022</v>
      </c>
      <c r="M11" s="44">
        <v>339670.48913946998</v>
      </c>
      <c r="N11" s="44">
        <v>543736.22912886017</v>
      </c>
      <c r="O11" s="44">
        <v>9665.8420320099995</v>
      </c>
      <c r="P11" s="44">
        <v>92425.242379999967</v>
      </c>
      <c r="Q11" s="44">
        <v>19073.354061670001</v>
      </c>
      <c r="R11" s="44">
        <v>21356.050947109998</v>
      </c>
      <c r="S11" s="44">
        <v>16996.404624000003</v>
      </c>
      <c r="T11" s="44">
        <v>24512.264932810001</v>
      </c>
      <c r="U11" s="44">
        <v>23709.127012000001</v>
      </c>
      <c r="V11" s="44">
        <v>6374.76</v>
      </c>
      <c r="W11" s="44">
        <v>4046.8293760000001</v>
      </c>
      <c r="X11" s="44">
        <v>18963.849999999999</v>
      </c>
      <c r="Y11" s="44">
        <v>21676.795355999999</v>
      </c>
      <c r="Z11" s="44">
        <v>193.55999999999997</v>
      </c>
      <c r="AA11" s="44">
        <v>2730.6645399999998</v>
      </c>
      <c r="AB11" s="44">
        <v>1324.8020840000001</v>
      </c>
      <c r="AC11" s="44">
        <v>28331.41</v>
      </c>
      <c r="AD11" s="44">
        <v>3307.4991697400001</v>
      </c>
      <c r="AE11" s="44">
        <v>12609.93</v>
      </c>
      <c r="AF11" s="44"/>
      <c r="AG11" s="44"/>
      <c r="AH11" s="44"/>
      <c r="AI11" s="16"/>
      <c r="AJ11" s="16"/>
    </row>
    <row r="12" spans="1:36">
      <c r="B12" s="38">
        <v>1983</v>
      </c>
      <c r="C12" s="44"/>
      <c r="D12" s="44">
        <v>13226960.06244</v>
      </c>
      <c r="E12" s="44">
        <v>7513543.77302643</v>
      </c>
      <c r="F12" s="44">
        <v>4288372.8428893797</v>
      </c>
      <c r="G12" s="44">
        <v>1633024.9782040003</v>
      </c>
      <c r="H12" s="44">
        <v>861325.76391876</v>
      </c>
      <c r="I12" s="44">
        <v>464351.84946131991</v>
      </c>
      <c r="J12" s="44">
        <v>883150.8447140099</v>
      </c>
      <c r="K12" s="44">
        <v>823479.02150721895</v>
      </c>
      <c r="L12" s="44">
        <v>486502.16207326</v>
      </c>
      <c r="M12" s="44">
        <v>1485546.1940757304</v>
      </c>
      <c r="N12" s="44">
        <v>79531.504789290018</v>
      </c>
      <c r="O12" s="44">
        <v>980432.46065946994</v>
      </c>
      <c r="P12" s="44">
        <v>139483.77390926998</v>
      </c>
      <c r="Q12" s="44">
        <v>12359.248297019973</v>
      </c>
      <c r="R12" s="44">
        <v>260428.175032</v>
      </c>
      <c r="S12" s="44">
        <v>149208.95111855003</v>
      </c>
      <c r="T12" s="44">
        <v>26953.32273955</v>
      </c>
      <c r="U12" s="44">
        <v>43225.500184000004</v>
      </c>
      <c r="V12" s="44">
        <v>5325.0975999999982</v>
      </c>
      <c r="W12" s="44">
        <v>16292.46521093</v>
      </c>
      <c r="X12" s="44">
        <v>5142.0982224300005</v>
      </c>
      <c r="Y12" s="44">
        <v>-19831.631704050003</v>
      </c>
      <c r="Z12" s="44">
        <v>4403.1499999999996</v>
      </c>
      <c r="AA12" s="44">
        <v>1077.1230755800002</v>
      </c>
      <c r="AB12" s="44">
        <v>3230.01</v>
      </c>
      <c r="AC12" s="44">
        <v>6556.4500000000007</v>
      </c>
      <c r="AD12" s="44">
        <v>1862.8058719999999</v>
      </c>
      <c r="AE12" s="44"/>
      <c r="AF12" s="44"/>
      <c r="AG12" s="44"/>
      <c r="AH12" s="44"/>
      <c r="AI12" s="16"/>
      <c r="AJ12" s="16"/>
    </row>
    <row r="13" spans="1:36">
      <c r="B13" s="38">
        <v>1984</v>
      </c>
      <c r="C13" s="44">
        <v>2505455.6383440001</v>
      </c>
      <c r="D13" s="44">
        <v>5716127.175307788</v>
      </c>
      <c r="E13" s="44">
        <v>3606239.3413733905</v>
      </c>
      <c r="F13" s="44">
        <v>1395941.4621467798</v>
      </c>
      <c r="G13" s="44">
        <v>381977.65193457995</v>
      </c>
      <c r="H13" s="44">
        <v>242356.07832457003</v>
      </c>
      <c r="I13" s="44">
        <v>326473.02250442997</v>
      </c>
      <c r="J13" s="44">
        <v>221810.09642533015</v>
      </c>
      <c r="K13" s="44">
        <v>313782.24966163008</v>
      </c>
      <c r="L13" s="44">
        <v>215799.26412193</v>
      </c>
      <c r="M13" s="44">
        <v>138558.09961200002</v>
      </c>
      <c r="N13" s="44">
        <v>30104.51182</v>
      </c>
      <c r="O13" s="44">
        <v>47487.934436000003</v>
      </c>
      <c r="P13" s="44">
        <v>3211.4532160000008</v>
      </c>
      <c r="Q13" s="44">
        <v>121056.89447599999</v>
      </c>
      <c r="R13" s="44">
        <v>24777.704732000002</v>
      </c>
      <c r="S13" s="44">
        <v>7374.8200000000006</v>
      </c>
      <c r="T13" s="44">
        <v>8664.0132840000006</v>
      </c>
      <c r="U13" s="44">
        <v>17987.040432000002</v>
      </c>
      <c r="V13" s="44">
        <v>5687.9225496400004</v>
      </c>
      <c r="W13" s="44">
        <v>-1550.1265398399999</v>
      </c>
      <c r="X13" s="44">
        <v>4411.7477199999994</v>
      </c>
      <c r="Y13" s="44">
        <v>16461</v>
      </c>
      <c r="Z13" s="44">
        <v>6064.5199999999995</v>
      </c>
      <c r="AA13" s="44">
        <v>10913.61</v>
      </c>
      <c r="AB13" s="44">
        <v>2786.73</v>
      </c>
      <c r="AC13" s="44">
        <v>2035.9</v>
      </c>
      <c r="AD13" s="44"/>
      <c r="AE13" s="44"/>
      <c r="AF13" s="44"/>
      <c r="AG13" s="44"/>
      <c r="AH13" s="44"/>
      <c r="AI13" s="16"/>
      <c r="AJ13" s="16"/>
    </row>
    <row r="14" spans="1:36">
      <c r="A14" s="24" t="s">
        <v>39</v>
      </c>
      <c r="B14" s="49" t="s">
        <v>138</v>
      </c>
    </row>
    <row r="15" spans="1:36">
      <c r="B15" s="32" t="s">
        <v>133</v>
      </c>
    </row>
    <row r="16" spans="1:36">
      <c r="B16" s="38" t="str">
        <f>B5</f>
        <v>U/W Year</v>
      </c>
      <c r="C16" s="38" t="str">
        <f t="shared" ref="C16:AG16" si="4">D5</f>
        <v>12 - 24</v>
      </c>
      <c r="D16" s="38" t="str">
        <f t="shared" si="4"/>
        <v>24 - 36</v>
      </c>
      <c r="E16" s="38" t="str">
        <f t="shared" si="4"/>
        <v>36 - 48</v>
      </c>
      <c r="F16" s="38" t="str">
        <f t="shared" si="4"/>
        <v>48 - 60</v>
      </c>
      <c r="G16" s="38" t="str">
        <f t="shared" si="4"/>
        <v>60 - 72</v>
      </c>
      <c r="H16" s="38" t="str">
        <f>I5</f>
        <v>72 - 84</v>
      </c>
      <c r="I16" s="38" t="str">
        <f t="shared" si="4"/>
        <v>84 - 96</v>
      </c>
      <c r="J16" s="38" t="str">
        <f t="shared" si="4"/>
        <v>96 - 108</v>
      </c>
      <c r="K16" s="38" t="str">
        <f t="shared" si="4"/>
        <v>108 - 120</v>
      </c>
      <c r="L16" s="38" t="str">
        <f t="shared" si="4"/>
        <v>120 - 132</v>
      </c>
      <c r="M16" s="38" t="str">
        <f t="shared" si="4"/>
        <v>132 - 144</v>
      </c>
      <c r="N16" s="38" t="str">
        <f t="shared" si="4"/>
        <v>144 - 156</v>
      </c>
      <c r="O16" s="38" t="str">
        <f t="shared" si="4"/>
        <v>156 - 168</v>
      </c>
      <c r="P16" s="38" t="str">
        <f t="shared" si="4"/>
        <v>168 - 180</v>
      </c>
      <c r="Q16" s="38" t="str">
        <f t="shared" si="4"/>
        <v>180 - 192</v>
      </c>
      <c r="R16" s="38" t="str">
        <f t="shared" si="4"/>
        <v>192 - 204</v>
      </c>
      <c r="S16" s="38" t="str">
        <f t="shared" si="4"/>
        <v>204 - 216</v>
      </c>
      <c r="T16" s="38" t="str">
        <f t="shared" si="4"/>
        <v>216 - 228</v>
      </c>
      <c r="U16" s="38" t="str">
        <f t="shared" si="4"/>
        <v>228 - 240</v>
      </c>
      <c r="V16" s="38" t="str">
        <f t="shared" si="4"/>
        <v>240 - 252</v>
      </c>
      <c r="W16" s="38" t="str">
        <f t="shared" si="4"/>
        <v>252 - 264</v>
      </c>
      <c r="X16" s="38" t="str">
        <f t="shared" si="4"/>
        <v>264 - 276</v>
      </c>
      <c r="Y16" s="38" t="str">
        <f t="shared" si="4"/>
        <v>276 - 288</v>
      </c>
      <c r="Z16" s="38" t="str">
        <f t="shared" si="4"/>
        <v>288 - 300</v>
      </c>
      <c r="AA16" s="38" t="str">
        <f t="shared" si="4"/>
        <v>300 - 312</v>
      </c>
      <c r="AB16" s="38" t="str">
        <f t="shared" si="4"/>
        <v>312 - 324</v>
      </c>
      <c r="AC16" s="38" t="str">
        <f t="shared" si="4"/>
        <v>324 - 336</v>
      </c>
      <c r="AD16" s="38" t="str">
        <f t="shared" si="4"/>
        <v>336 - 348</v>
      </c>
      <c r="AE16" s="38" t="str">
        <f t="shared" si="4"/>
        <v>348 - 360</v>
      </c>
      <c r="AF16" s="38" t="str">
        <f t="shared" si="4"/>
        <v>360 - 372</v>
      </c>
      <c r="AG16" s="38" t="str">
        <f t="shared" si="4"/>
        <v>372 - 384</v>
      </c>
      <c r="AH16" s="38" t="str">
        <f t="shared" ref="AH16" si="5">AI5</f>
        <v>384 - 396</v>
      </c>
      <c r="AI16" s="38" t="str">
        <f t="shared" ref="AI16" si="6">AJ5</f>
        <v>396 - 408</v>
      </c>
    </row>
    <row r="17" spans="2:35">
      <c r="B17" s="38">
        <f t="shared" ref="B17:B24" si="7">B6</f>
        <v>1977</v>
      </c>
      <c r="C17" s="93" t="str">
        <f>IF(OR(C6=0,D6=0,(COLUMN(C17)-COLUMN($A17))&gt;(2010-$A17)),"",D6/C6)</f>
        <v/>
      </c>
      <c r="D17" s="93" t="str">
        <f t="shared" ref="D17:AG17" si="8">IF(OR(D6=0,E6=0,(COLUMN(D17)-COLUMN($A17))&gt;(2010-$A17)),"",E6/D6)</f>
        <v/>
      </c>
      <c r="E17" s="93" t="str">
        <f t="shared" si="8"/>
        <v/>
      </c>
      <c r="F17" s="93" t="str">
        <f t="shared" si="8"/>
        <v/>
      </c>
      <c r="G17" s="93" t="str">
        <f t="shared" si="8"/>
        <v/>
      </c>
      <c r="H17" s="93" t="str">
        <f t="shared" ref="H17:H24" si="9">IF(OR(H6=0,I6=0,(COLUMN(H17)-COLUMN($A17))&gt;(2010-$A17)),"",I6/H6)</f>
        <v/>
      </c>
      <c r="I17" s="93" t="str">
        <f t="shared" si="8"/>
        <v/>
      </c>
      <c r="J17" s="93">
        <f t="shared" si="8"/>
        <v>2.7251884320879816</v>
      </c>
      <c r="K17" s="93">
        <f t="shared" si="8"/>
        <v>0.13460262911623183</v>
      </c>
      <c r="L17" s="93">
        <f t="shared" si="8"/>
        <v>3.9964280657051705</v>
      </c>
      <c r="M17" s="93">
        <f t="shared" si="8"/>
        <v>-0.17386706444198116</v>
      </c>
      <c r="N17" s="93">
        <f t="shared" si="8"/>
        <v>-1.2550080832034721E-2</v>
      </c>
      <c r="O17" s="93">
        <f t="shared" si="8"/>
        <v>14.188108415182986</v>
      </c>
      <c r="P17" s="93">
        <f t="shared" si="8"/>
        <v>-0.28718905647799725</v>
      </c>
      <c r="Q17" s="93">
        <f t="shared" si="8"/>
        <v>-8.9388694959165989</v>
      </c>
      <c r="R17" s="93">
        <f t="shared" si="8"/>
        <v>6.1297894105820685</v>
      </c>
      <c r="S17" s="93">
        <f t="shared" si="8"/>
        <v>0.40826326930388152</v>
      </c>
      <c r="T17" s="93" t="str">
        <f t="shared" si="8"/>
        <v/>
      </c>
      <c r="U17" s="93" t="str">
        <f t="shared" si="8"/>
        <v/>
      </c>
      <c r="V17" s="93">
        <f t="shared" si="8"/>
        <v>14.722573315344741</v>
      </c>
      <c r="W17" s="93">
        <f t="shared" si="8"/>
        <v>5.3842035709807175E-2</v>
      </c>
      <c r="X17" s="93">
        <f t="shared" si="8"/>
        <v>24.753357441662558</v>
      </c>
      <c r="Y17" s="93">
        <f t="shared" si="8"/>
        <v>2.3231117206524714</v>
      </c>
      <c r="Z17" s="93">
        <f t="shared" si="8"/>
        <v>2.8191228357127833E-2</v>
      </c>
      <c r="AA17" s="93" t="str">
        <f t="shared" si="8"/>
        <v/>
      </c>
      <c r="AB17" s="93" t="str">
        <f t="shared" si="8"/>
        <v/>
      </c>
      <c r="AC17" s="93">
        <f t="shared" si="8"/>
        <v>-1.8722572099765082</v>
      </c>
      <c r="AD17" s="93">
        <v>0</v>
      </c>
      <c r="AE17" s="93" t="str">
        <f t="shared" si="8"/>
        <v/>
      </c>
      <c r="AF17" s="93">
        <f t="shared" si="8"/>
        <v>3.336711930164888</v>
      </c>
      <c r="AG17" s="93">
        <f t="shared" si="8"/>
        <v>0.28854119733151173</v>
      </c>
      <c r="AH17" s="103" t="str">
        <f t="shared" ref="AH17:AH24" si="10">IF(OR(AH6=0,AI6=0,(COLUMN(AH17)-COLUMN($A17))&gt;(2010-$A17)),"",AI6/AH6)</f>
        <v/>
      </c>
      <c r="AI17" s="93" t="str">
        <f t="shared" ref="AI17:AI24" si="11">IF(OR(AI6=0,AJ6=0,(COLUMN(AI17)-COLUMN($A17))&gt;(2010-$A17)),"",AJ6/AI6)</f>
        <v/>
      </c>
    </row>
    <row r="18" spans="2:35">
      <c r="B18" s="38">
        <f t="shared" si="7"/>
        <v>1978</v>
      </c>
      <c r="C18" s="93" t="str">
        <f t="shared" ref="C18:AG18" si="12">IF(OR(C7=0,D7=0,(COLUMN(C18)-COLUMN($A18))&gt;(2010-$A18)),"",D7/C7)</f>
        <v/>
      </c>
      <c r="D18" s="93" t="str">
        <f t="shared" si="12"/>
        <v/>
      </c>
      <c r="E18" s="93" t="str">
        <f t="shared" si="12"/>
        <v/>
      </c>
      <c r="F18" s="93" t="str">
        <f t="shared" si="12"/>
        <v/>
      </c>
      <c r="G18" s="93" t="str">
        <f t="shared" si="12"/>
        <v/>
      </c>
      <c r="H18" s="93" t="str">
        <f t="shared" si="9"/>
        <v/>
      </c>
      <c r="I18" s="93">
        <f t="shared" si="12"/>
        <v>1.2368957934177098</v>
      </c>
      <c r="J18" s="93">
        <f t="shared" si="12"/>
        <v>0.54080344122616397</v>
      </c>
      <c r="K18" s="93">
        <f t="shared" si="12"/>
        <v>0.53427689021346159</v>
      </c>
      <c r="L18" s="93">
        <f t="shared" si="12"/>
        <v>0.64665677597892213</v>
      </c>
      <c r="M18" s="93">
        <f t="shared" si="12"/>
        <v>1.0318829622384722</v>
      </c>
      <c r="N18" s="93">
        <f t="shared" si="12"/>
        <v>0.66440549175122321</v>
      </c>
      <c r="O18" s="93">
        <f t="shared" si="12"/>
        <v>4.9645680384434812</v>
      </c>
      <c r="P18" s="93">
        <f t="shared" si="12"/>
        <v>0.81410702307441496</v>
      </c>
      <c r="Q18" s="93">
        <f t="shared" si="12"/>
        <v>2.6186239180583781</v>
      </c>
      <c r="R18" s="93">
        <f t="shared" si="12"/>
        <v>-1.487077833115571E-2</v>
      </c>
      <c r="S18" s="93">
        <f t="shared" si="12"/>
        <v>-4.9150250836330613</v>
      </c>
      <c r="T18" s="93">
        <f t="shared" si="12"/>
        <v>0.26086219398854088</v>
      </c>
      <c r="U18" s="93">
        <f t="shared" si="12"/>
        <v>1.4276989092389729</v>
      </c>
      <c r="V18" s="93">
        <f t="shared" si="12"/>
        <v>2.0961059617177646</v>
      </c>
      <c r="W18" s="93">
        <f t="shared" si="12"/>
        <v>2.3082868678094002</v>
      </c>
      <c r="X18" s="93">
        <f t="shared" si="12"/>
        <v>1.5041034337352128</v>
      </c>
      <c r="Y18" s="93">
        <f t="shared" si="12"/>
        <v>2.9443018399248774E-2</v>
      </c>
      <c r="Z18" s="93">
        <f t="shared" si="12"/>
        <v>5.4385942459301733</v>
      </c>
      <c r="AA18" s="93">
        <f t="shared" si="12"/>
        <v>0.75751029532886216</v>
      </c>
      <c r="AB18" s="93">
        <f t="shared" si="12"/>
        <v>0.81519334957005818</v>
      </c>
      <c r="AC18" s="93">
        <f t="shared" si="12"/>
        <v>0.12028321659667549</v>
      </c>
      <c r="AD18" s="93">
        <f t="shared" si="12"/>
        <v>2.0577239893549613</v>
      </c>
      <c r="AE18" s="93">
        <f t="shared" si="12"/>
        <v>3.1277906081601232</v>
      </c>
      <c r="AF18" s="93">
        <v>0</v>
      </c>
      <c r="AG18" s="93" t="str">
        <f t="shared" si="12"/>
        <v/>
      </c>
      <c r="AH18" s="103" t="str">
        <f t="shared" si="10"/>
        <v/>
      </c>
      <c r="AI18" s="93" t="str">
        <f t="shared" si="11"/>
        <v/>
      </c>
    </row>
    <row r="19" spans="2:35">
      <c r="B19" s="38">
        <f t="shared" si="7"/>
        <v>1979</v>
      </c>
      <c r="C19" s="93" t="str">
        <f t="shared" ref="C19:AG19" si="13">IF(OR(C8=0,D8=0,(COLUMN(C19)-COLUMN($A19))&gt;(2010-$A19)),"",D8/C8)</f>
        <v/>
      </c>
      <c r="D19" s="93" t="str">
        <f t="shared" si="13"/>
        <v/>
      </c>
      <c r="E19" s="93" t="str">
        <f t="shared" si="13"/>
        <v/>
      </c>
      <c r="F19" s="93" t="str">
        <f t="shared" si="13"/>
        <v/>
      </c>
      <c r="G19" s="93" t="str">
        <f t="shared" si="13"/>
        <v/>
      </c>
      <c r="H19" s="93">
        <f t="shared" si="9"/>
        <v>1.1686376640617435</v>
      </c>
      <c r="I19" s="93">
        <f t="shared" si="13"/>
        <v>0.89012955216193335</v>
      </c>
      <c r="J19" s="93">
        <f t="shared" si="13"/>
        <v>0.41322926429141121</v>
      </c>
      <c r="K19" s="93">
        <f t="shared" si="13"/>
        <v>-3.2791708321027777E-2</v>
      </c>
      <c r="L19" s="93">
        <f t="shared" si="13"/>
        <v>-13.994230880667148</v>
      </c>
      <c r="M19" s="93">
        <f t="shared" si="13"/>
        <v>0.4883138469043673</v>
      </c>
      <c r="N19" s="93">
        <f t="shared" si="13"/>
        <v>0.5410508192379454</v>
      </c>
      <c r="O19" s="93">
        <f t="shared" si="13"/>
        <v>1.2301500510226764</v>
      </c>
      <c r="P19" s="93">
        <f t="shared" si="13"/>
        <v>0.62190019406150165</v>
      </c>
      <c r="Q19" s="93">
        <f t="shared" si="13"/>
        <v>1.7562899566871839</v>
      </c>
      <c r="R19" s="93">
        <f t="shared" si="13"/>
        <v>0.16043061582389032</v>
      </c>
      <c r="S19" s="93">
        <f t="shared" si="13"/>
        <v>0.2950197066806437</v>
      </c>
      <c r="T19" s="93">
        <f t="shared" si="13"/>
        <v>6.3409803004470691</v>
      </c>
      <c r="U19" s="93">
        <f t="shared" si="13"/>
        <v>5.1740467458329658</v>
      </c>
      <c r="V19" s="93">
        <f t="shared" si="13"/>
        <v>1.6704530361005727</v>
      </c>
      <c r="W19" s="93">
        <f t="shared" si="13"/>
        <v>0.61263837469850746</v>
      </c>
      <c r="X19" s="93">
        <f t="shared" si="13"/>
        <v>3.1596257007636304E-2</v>
      </c>
      <c r="Y19" s="93">
        <f t="shared" si="13"/>
        <v>1.923147537221378</v>
      </c>
      <c r="Z19" s="93">
        <f t="shared" si="13"/>
        <v>110.72177016363607</v>
      </c>
      <c r="AA19" s="93">
        <f t="shared" si="13"/>
        <v>5.0486167271126293E-3</v>
      </c>
      <c r="AB19" s="93" t="str">
        <f t="shared" si="13"/>
        <v/>
      </c>
      <c r="AC19" s="93" t="str">
        <f t="shared" si="13"/>
        <v/>
      </c>
      <c r="AD19" s="93">
        <f t="shared" si="13"/>
        <v>0.66679746622568525</v>
      </c>
      <c r="AE19" s="93">
        <f t="shared" si="13"/>
        <v>1.0970996216897857</v>
      </c>
      <c r="AF19" s="93">
        <f t="shared" si="13"/>
        <v>7.299655172413793</v>
      </c>
      <c r="AG19" s="93">
        <f t="shared" si="13"/>
        <v>8.5938033077718454E-2</v>
      </c>
      <c r="AH19" s="93" t="str">
        <f t="shared" si="10"/>
        <v/>
      </c>
      <c r="AI19" s="93" t="str">
        <f t="shared" si="11"/>
        <v/>
      </c>
    </row>
    <row r="20" spans="2:35">
      <c r="B20" s="38">
        <f t="shared" si="7"/>
        <v>1980</v>
      </c>
      <c r="C20" s="93" t="str">
        <f t="shared" ref="C20:AG20" si="14">IF(OR(C9=0,D9=0,(COLUMN(C20)-COLUMN($A20))&gt;(2010-$A20)),"",D9/C9)</f>
        <v/>
      </c>
      <c r="D20" s="93" t="str">
        <f t="shared" si="14"/>
        <v/>
      </c>
      <c r="E20" s="93" t="str">
        <f t="shared" si="14"/>
        <v/>
      </c>
      <c r="F20" s="93" t="str">
        <f t="shared" si="14"/>
        <v/>
      </c>
      <c r="G20" s="93">
        <f t="shared" si="14"/>
        <v>0.28269007773806332</v>
      </c>
      <c r="H20" s="93">
        <f t="shared" si="9"/>
        <v>0.78581037742725046</v>
      </c>
      <c r="I20" s="93">
        <f t="shared" si="14"/>
        <v>1.2909410083158697</v>
      </c>
      <c r="J20" s="93">
        <f t="shared" si="14"/>
        <v>0.34670422024820596</v>
      </c>
      <c r="K20" s="93">
        <f t="shared" si="14"/>
        <v>1.2428133999980309</v>
      </c>
      <c r="L20" s="93">
        <f t="shared" si="14"/>
        <v>1.0267684094952243</v>
      </c>
      <c r="M20" s="93">
        <f t="shared" si="14"/>
        <v>0.78733689853689404</v>
      </c>
      <c r="N20" s="93">
        <f>IF(OR(N9=0,O9=0,(COLUMN(N20)-COLUMN($A20))&gt;(2010-$A20)),"",O9/N9)</f>
        <v>0.64639003891038793</v>
      </c>
      <c r="O20" s="93">
        <f t="shared" si="14"/>
        <v>0.76214073863000797</v>
      </c>
      <c r="P20" s="93">
        <f t="shared" si="14"/>
        <v>-0.14469170580344137</v>
      </c>
      <c r="Q20" s="93">
        <f t="shared" si="14"/>
        <v>-3.8553088421732582</v>
      </c>
      <c r="R20" s="93">
        <f t="shared" si="14"/>
        <v>0.18580070870759105</v>
      </c>
      <c r="S20" s="93">
        <f t="shared" si="14"/>
        <v>3.4885036609918028</v>
      </c>
      <c r="T20" s="93">
        <f t="shared" si="14"/>
        <v>0.66306360345334814</v>
      </c>
      <c r="U20" s="93">
        <f t="shared" si="14"/>
        <v>5.7469893998701318</v>
      </c>
      <c r="V20" s="93">
        <f t="shared" si="14"/>
        <v>0.85642317276057567</v>
      </c>
      <c r="W20" s="93">
        <f t="shared" si="14"/>
        <v>7.1216334832393521E-2</v>
      </c>
      <c r="X20" s="93">
        <f t="shared" si="14"/>
        <v>0.5848288907170065</v>
      </c>
      <c r="Y20" s="93">
        <f t="shared" si="14"/>
        <v>2.9642730159262922</v>
      </c>
      <c r="Z20" s="93">
        <f t="shared" si="14"/>
        <v>0.8763671774463544</v>
      </c>
      <c r="AA20" s="93">
        <f t="shared" si="14"/>
        <v>1.3350419690636646</v>
      </c>
      <c r="AB20" s="93">
        <f t="shared" si="14"/>
        <v>3.3330070755289873</v>
      </c>
      <c r="AC20" s="93">
        <f t="shared" si="14"/>
        <v>3.4207000078657068E-3</v>
      </c>
      <c r="AD20" s="93">
        <f t="shared" si="14"/>
        <v>-0.32981400167743841</v>
      </c>
      <c r="AE20" s="93">
        <f t="shared" si="14"/>
        <v>-83.653121914734484</v>
      </c>
      <c r="AF20" s="93">
        <v>0</v>
      </c>
      <c r="AG20" s="93" t="str">
        <f t="shared" si="14"/>
        <v/>
      </c>
      <c r="AH20" s="93" t="str">
        <f t="shared" si="10"/>
        <v/>
      </c>
      <c r="AI20" s="93" t="str">
        <f t="shared" si="11"/>
        <v/>
      </c>
    </row>
    <row r="21" spans="2:35">
      <c r="B21" s="38">
        <f t="shared" si="7"/>
        <v>1981</v>
      </c>
      <c r="C21" s="93" t="str">
        <f t="shared" ref="C21:AG21" si="15">IF(OR(C10=0,D10=0,(COLUMN(C21)-COLUMN($A21))&gt;(2010-$A21)),"",D10/C10)</f>
        <v/>
      </c>
      <c r="D21" s="93" t="str">
        <f t="shared" si="15"/>
        <v/>
      </c>
      <c r="E21" s="93" t="str">
        <f t="shared" si="15"/>
        <v/>
      </c>
      <c r="F21" s="93">
        <f t="shared" si="15"/>
        <v>0.19084878560264232</v>
      </c>
      <c r="G21" s="93">
        <f t="shared" si="15"/>
        <v>0.72154330324060978</v>
      </c>
      <c r="H21" s="93">
        <f t="shared" si="9"/>
        <v>1.3613790596526791</v>
      </c>
      <c r="I21" s="93">
        <f t="shared" si="15"/>
        <v>0.61270931591263567</v>
      </c>
      <c r="J21" s="93">
        <f t="shared" si="15"/>
        <v>0.75426044426230621</v>
      </c>
      <c r="K21" s="93">
        <f t="shared" si="15"/>
        <v>0.688150770855814</v>
      </c>
      <c r="L21" s="93">
        <f t="shared" si="15"/>
        <v>0.42423946118098993</v>
      </c>
      <c r="M21" s="93">
        <f t="shared" si="15"/>
        <v>2.3578956207539945</v>
      </c>
      <c r="N21" s="93">
        <f t="shared" si="15"/>
        <v>3.6550339193286203</v>
      </c>
      <c r="O21" s="93">
        <f t="shared" si="15"/>
        <v>0.21165269304378806</v>
      </c>
      <c r="P21" s="93">
        <f t="shared" si="15"/>
        <v>0.19651546979536719</v>
      </c>
      <c r="Q21" s="93">
        <f t="shared" si="15"/>
        <v>2.9531073615020795</v>
      </c>
      <c r="R21" s="93">
        <f t="shared" si="15"/>
        <v>9.0332836195368735E-2</v>
      </c>
      <c r="S21" s="93">
        <f t="shared" si="15"/>
        <v>7.1164684063361312</v>
      </c>
      <c r="T21" s="93">
        <f t="shared" si="15"/>
        <v>0.40111338888843345</v>
      </c>
      <c r="U21" s="93">
        <f t="shared" si="15"/>
        <v>3.2013329025447397</v>
      </c>
      <c r="V21" s="93">
        <f t="shared" si="15"/>
        <v>0.23653550390333883</v>
      </c>
      <c r="W21" s="93">
        <f t="shared" si="15"/>
        <v>-0.22377709227334031</v>
      </c>
      <c r="X21" s="93">
        <f t="shared" si="15"/>
        <v>-28.599801509501077</v>
      </c>
      <c r="Y21" s="93">
        <f t="shared" si="15"/>
        <v>4.9518283866299251E-2</v>
      </c>
      <c r="Z21" s="93">
        <f t="shared" si="15"/>
        <v>3.8171265535839916</v>
      </c>
      <c r="AA21" s="93">
        <f t="shared" si="15"/>
        <v>0.12235400331063669</v>
      </c>
      <c r="AB21" s="93">
        <f t="shared" si="15"/>
        <v>-0.15021276176018555</v>
      </c>
      <c r="AC21" s="93">
        <f t="shared" si="15"/>
        <v>-29.638434247001953</v>
      </c>
      <c r="AD21" s="93">
        <f t="shared" si="15"/>
        <v>2.2067991292576519</v>
      </c>
      <c r="AE21" s="93">
        <f t="shared" si="15"/>
        <v>2.5954448418231086</v>
      </c>
      <c r="AF21" s="93" t="str">
        <f t="shared" si="15"/>
        <v/>
      </c>
      <c r="AG21" s="93" t="str">
        <f t="shared" si="15"/>
        <v/>
      </c>
      <c r="AH21" s="93" t="str">
        <f t="shared" si="10"/>
        <v/>
      </c>
      <c r="AI21" s="93" t="str">
        <f t="shared" si="11"/>
        <v/>
      </c>
    </row>
    <row r="22" spans="2:35">
      <c r="B22" s="38">
        <f t="shared" si="7"/>
        <v>1982</v>
      </c>
      <c r="C22" s="93" t="str">
        <f t="shared" ref="C22:AG22" si="16">IF(OR(C11=0,D11=0,(COLUMN(C22)-COLUMN($A22))&gt;(2010-$A22)),"",D11/C11)</f>
        <v/>
      </c>
      <c r="D22" s="93" t="str">
        <f t="shared" si="16"/>
        <v/>
      </c>
      <c r="E22" s="93">
        <f t="shared" si="16"/>
        <v>0.38160463834303632</v>
      </c>
      <c r="F22" s="93">
        <f t="shared" si="16"/>
        <v>0.32297403015905901</v>
      </c>
      <c r="G22" s="93">
        <f t="shared" si="16"/>
        <v>0.28282367383157758</v>
      </c>
      <c r="H22" s="93" t="e">
        <f t="shared" si="9"/>
        <v>#VALUE!</v>
      </c>
      <c r="I22" s="93" t="e">
        <f t="shared" si="16"/>
        <v>#VALUE!</v>
      </c>
      <c r="J22" s="93">
        <f t="shared" si="16"/>
        <v>0.4271885861029559</v>
      </c>
      <c r="K22" s="93">
        <f t="shared" si="16"/>
        <v>1.6035308218367521</v>
      </c>
      <c r="L22" s="93">
        <f t="shared" si="16"/>
        <v>1.5153334972005643</v>
      </c>
      <c r="M22" s="93">
        <f t="shared" si="16"/>
        <v>1.6007755943307751</v>
      </c>
      <c r="N22" s="93">
        <f t="shared" si="16"/>
        <v>1.7776711416666129E-2</v>
      </c>
      <c r="O22" s="93">
        <f t="shared" si="16"/>
        <v>9.5620476802661187</v>
      </c>
      <c r="P22" s="93">
        <f t="shared" si="16"/>
        <v>0.20636520468349145</v>
      </c>
      <c r="Q22" s="93">
        <f t="shared" si="16"/>
        <v>1.1196798883961017</v>
      </c>
      <c r="R22" s="93">
        <f t="shared" si="16"/>
        <v>0.79585896597142347</v>
      </c>
      <c r="S22" s="93">
        <f t="shared" si="16"/>
        <v>1.4422029526290006</v>
      </c>
      <c r="T22" s="93">
        <f t="shared" si="16"/>
        <v>0.96723526271393268</v>
      </c>
      <c r="U22" s="93">
        <f t="shared" si="16"/>
        <v>0.26887367032845688</v>
      </c>
      <c r="V22" s="93">
        <f t="shared" si="16"/>
        <v>0.63482066399362491</v>
      </c>
      <c r="W22" s="93">
        <f t="shared" si="16"/>
        <v>4.6861007070044547</v>
      </c>
      <c r="X22" s="93">
        <f t="shared" si="16"/>
        <v>1.1430587858478105</v>
      </c>
      <c r="Y22" s="93">
        <f t="shared" si="16"/>
        <v>8.9293641805048372E-3</v>
      </c>
      <c r="Z22" s="93">
        <f t="shared" si="16"/>
        <v>14.10758700144658</v>
      </c>
      <c r="AA22" s="93">
        <f t="shared" si="16"/>
        <v>0.48515739102833932</v>
      </c>
      <c r="AB22" s="93">
        <f t="shared" si="16"/>
        <v>21.385390574310115</v>
      </c>
      <c r="AC22" s="93">
        <f t="shared" si="16"/>
        <v>0.11674318961675399</v>
      </c>
      <c r="AD22" s="93">
        <f t="shared" si="16"/>
        <v>3.8125270341311248</v>
      </c>
      <c r="AE22" s="93" t="str">
        <f t="shared" si="16"/>
        <v/>
      </c>
      <c r="AF22" s="93" t="str">
        <f t="shared" si="16"/>
        <v/>
      </c>
      <c r="AG22" s="93" t="str">
        <f t="shared" si="16"/>
        <v/>
      </c>
      <c r="AH22" s="93" t="str">
        <f t="shared" si="10"/>
        <v/>
      </c>
      <c r="AI22" s="93" t="str">
        <f t="shared" si="11"/>
        <v/>
      </c>
    </row>
    <row r="23" spans="2:35">
      <c r="B23" s="38">
        <f t="shared" si="7"/>
        <v>1983</v>
      </c>
      <c r="C23" s="93" t="str">
        <f t="shared" ref="C23:AG23" si="17">IF(OR(C12=0,D12=0,(COLUMN(C23)-COLUMN($A23))&gt;(2010-$A23)),"",D12/C12)</f>
        <v/>
      </c>
      <c r="D23" s="93">
        <f t="shared" si="17"/>
        <v>0.5680476645848731</v>
      </c>
      <c r="E23" s="93">
        <f t="shared" si="17"/>
        <v>0.57075236032890475</v>
      </c>
      <c r="F23" s="93">
        <f t="shared" si="17"/>
        <v>0.38080293809148275</v>
      </c>
      <c r="G23" s="93">
        <f t="shared" si="17"/>
        <v>0.52744187958842215</v>
      </c>
      <c r="H23" s="93">
        <f t="shared" si="9"/>
        <v>0.53911292209426753</v>
      </c>
      <c r="I23" s="93">
        <f t="shared" si="17"/>
        <v>1.9019001340008135</v>
      </c>
      <c r="J23" s="93">
        <f t="shared" si="17"/>
        <v>0.93243303387643317</v>
      </c>
      <c r="K23" s="93">
        <f t="shared" si="17"/>
        <v>0.59078877465853585</v>
      </c>
      <c r="L23" s="93">
        <f t="shared" si="17"/>
        <v>3.053524341484898</v>
      </c>
      <c r="M23" s="93">
        <f t="shared" si="17"/>
        <v>5.3536877618788913E-2</v>
      </c>
      <c r="N23" s="93">
        <f t="shared" si="17"/>
        <v>12.327598519065093</v>
      </c>
      <c r="O23" s="93">
        <f t="shared" si="17"/>
        <v>0.14226760078450357</v>
      </c>
      <c r="P23" s="93">
        <f t="shared" si="17"/>
        <v>8.8607068411120662E-2</v>
      </c>
      <c r="Q23" s="93">
        <f t="shared" si="17"/>
        <v>21.071522213433781</v>
      </c>
      <c r="R23" s="93">
        <f t="shared" si="17"/>
        <v>0.57293705299058384</v>
      </c>
      <c r="S23" s="93">
        <f t="shared" si="17"/>
        <v>0.18064145976158594</v>
      </c>
      <c r="T23" s="93">
        <f t="shared" si="17"/>
        <v>1.6037169369316013</v>
      </c>
      <c r="U23" s="93">
        <f t="shared" si="17"/>
        <v>0.12319342927976326</v>
      </c>
      <c r="V23" s="93">
        <f t="shared" si="17"/>
        <v>3.0595618023846183</v>
      </c>
      <c r="W23" s="93">
        <f t="shared" si="17"/>
        <v>0.3156120424906822</v>
      </c>
      <c r="X23" s="93">
        <f t="shared" si="17"/>
        <v>-3.8567197370022566</v>
      </c>
      <c r="Y23" s="93">
        <f t="shared" si="17"/>
        <v>-0.22202661211688351</v>
      </c>
      <c r="Z23" s="93">
        <f t="shared" si="17"/>
        <v>0.24462556932650495</v>
      </c>
      <c r="AA23" s="93">
        <f t="shared" si="17"/>
        <v>2.9987380952364533</v>
      </c>
      <c r="AB23" s="93">
        <f t="shared" si="17"/>
        <v>2.029854396735614</v>
      </c>
      <c r="AC23" s="93">
        <f t="shared" si="17"/>
        <v>0.28411806267111006</v>
      </c>
      <c r="AD23" s="93" t="str">
        <f t="shared" si="17"/>
        <v/>
      </c>
      <c r="AE23" s="93" t="str">
        <f t="shared" si="17"/>
        <v/>
      </c>
      <c r="AF23" s="93" t="str">
        <f t="shared" si="17"/>
        <v/>
      </c>
      <c r="AG23" s="93" t="str">
        <f t="shared" si="17"/>
        <v/>
      </c>
      <c r="AH23" s="93" t="str">
        <f t="shared" si="10"/>
        <v/>
      </c>
      <c r="AI23" s="93" t="str">
        <f t="shared" si="11"/>
        <v/>
      </c>
    </row>
    <row r="24" spans="2:35">
      <c r="B24" s="38">
        <f t="shared" si="7"/>
        <v>1984</v>
      </c>
      <c r="C24" s="93">
        <f t="shared" ref="C24:AG24" si="18">IF(OR(C13=0,D13=0,(COLUMN(C24)-COLUMN($A24))&gt;(2010-$A24)),"",D13/C13)</f>
        <v>2.2814721154216508</v>
      </c>
      <c r="D24" s="93">
        <f t="shared" si="18"/>
        <v>0.63088857731357428</v>
      </c>
      <c r="E24" s="93">
        <f t="shared" si="18"/>
        <v>0.38709063098822311</v>
      </c>
      <c r="F24" s="93">
        <f t="shared" si="18"/>
        <v>0.27363443403074156</v>
      </c>
      <c r="G24" s="93">
        <f t="shared" si="18"/>
        <v>0.63447711429483722</v>
      </c>
      <c r="H24" s="93">
        <f t="shared" si="9"/>
        <v>1.3470799856202005</v>
      </c>
      <c r="I24" s="93">
        <f t="shared" si="18"/>
        <v>0.67941324745238441</v>
      </c>
      <c r="J24" s="93">
        <f t="shared" si="18"/>
        <v>1.4146436736582968</v>
      </c>
      <c r="K24" s="93">
        <f t="shared" si="18"/>
        <v>0.68773572869287247</v>
      </c>
      <c r="L24" s="93">
        <f t="shared" si="18"/>
        <v>0.6420693795031317</v>
      </c>
      <c r="M24" s="93">
        <f t="shared" si="18"/>
        <v>0.21726995321313397</v>
      </c>
      <c r="N24" s="93">
        <f t="shared" si="18"/>
        <v>1.5774357916826038</v>
      </c>
      <c r="O24" s="93">
        <f t="shared" si="18"/>
        <v>6.7626719379174319E-2</v>
      </c>
      <c r="P24" s="93">
        <f t="shared" si="18"/>
        <v>37.695362919464046</v>
      </c>
      <c r="Q24" s="93">
        <f t="shared" si="18"/>
        <v>0.20467817912603301</v>
      </c>
      <c r="R24" s="93">
        <f t="shared" si="18"/>
        <v>0.29763935278781256</v>
      </c>
      <c r="S24" s="93">
        <f t="shared" si="18"/>
        <v>1.1748101355694105</v>
      </c>
      <c r="T24" s="93">
        <f t="shared" si="18"/>
        <v>2.0760633487505165</v>
      </c>
      <c r="U24" s="93">
        <f t="shared" si="18"/>
        <v>0.31622337043957782</v>
      </c>
      <c r="V24" s="93">
        <f t="shared" si="18"/>
        <v>-0.27252947386530613</v>
      </c>
      <c r="W24" s="93">
        <f t="shared" si="18"/>
        <v>-2.8460565035260728</v>
      </c>
      <c r="X24" s="93">
        <f t="shared" si="18"/>
        <v>3.7311743655187977</v>
      </c>
      <c r="Y24" s="93">
        <f t="shared" si="18"/>
        <v>0.36841747159953825</v>
      </c>
      <c r="Z24" s="93">
        <f t="shared" si="18"/>
        <v>1.7995834789892691</v>
      </c>
      <c r="AA24" s="93">
        <f t="shared" si="18"/>
        <v>0.25534447355183115</v>
      </c>
      <c r="AB24" s="93">
        <f t="shared" si="18"/>
        <v>0.73056952054917412</v>
      </c>
      <c r="AC24" s="93" t="str">
        <f t="shared" si="18"/>
        <v/>
      </c>
      <c r="AD24" s="93" t="str">
        <f t="shared" si="18"/>
        <v/>
      </c>
      <c r="AE24" s="93" t="str">
        <f t="shared" si="18"/>
        <v/>
      </c>
      <c r="AF24" s="93" t="str">
        <f t="shared" si="18"/>
        <v/>
      </c>
      <c r="AG24" s="93" t="str">
        <f t="shared" si="18"/>
        <v/>
      </c>
      <c r="AH24" s="93" t="str">
        <f t="shared" si="10"/>
        <v/>
      </c>
      <c r="AI24" s="93" t="str">
        <f t="shared" si="11"/>
        <v/>
      </c>
    </row>
    <row r="25" spans="2:35" ht="3" customHeight="1">
      <c r="B25" s="38"/>
    </row>
    <row r="26" spans="2:35" ht="3.75" customHeight="1">
      <c r="B26" s="38"/>
    </row>
    <row r="27" spans="2:35">
      <c r="B27" s="45" t="s">
        <v>50</v>
      </c>
      <c r="C27" s="93">
        <f t="array" ref="C27">SUM(IF(C17:C24="",0,1)*D6:D13)/SUM(IF(C17:C24="",0,1)*C6:C13)</f>
        <v>2.2814721154216508</v>
      </c>
      <c r="D27" s="93">
        <f t="array" ref="D27">SUM(IF(D17:D24="",0,1)*E6:E13)/SUM(IF(D17:D24="",0,1)*D6:D13)</f>
        <v>0.58701007786320536</v>
      </c>
      <c r="E27" s="93">
        <f t="array" ref="E27">SUM(IF(E17:E24="",0,1)*F6:F13)/SUM(IF(E17:E24="",0,1)*E6:E13)</f>
        <v>0.46278882305526181</v>
      </c>
      <c r="F27" s="93">
        <f t="array" ref="F27">SUM(IF(F17:F24="",0,1)*G6:G13)/SUM(IF(F17:F24="",0,1)*F6:F13)</f>
        <v>0.31644445541588051</v>
      </c>
      <c r="G27" s="93">
        <f t="array" ref="G27">SUM(IF(G17:G24="",0,1)*H6:H13)/SUM(IF(G17:G24="",0,1)*G6:G13)</f>
        <v>0.41263315327678313</v>
      </c>
      <c r="H27" s="93" t="e">
        <f t="array" ref="H27">SUM(IF(H17:H24="",0,1)*I6:I13)/SUM(IF(H17:H24="",0,1)*H6:H13)</f>
        <v>#VALUE!</v>
      </c>
      <c r="I27" s="93" t="e">
        <f t="array" ref="I27">SUM(IF(I17:I24="",0,1)*J6:J13)/SUM(IF(I17:I24="",0,1)*I6:I13)</f>
        <v>#VALUE!</v>
      </c>
      <c r="J27" s="93">
        <f t="array" ref="J27">SUM(IF(J17:J24="",0,1)*K6:K13)/SUM(IF(J17:J24="",0,1)*J6:J13)</f>
        <v>0.69917212583381627</v>
      </c>
      <c r="K27" s="93">
        <f t="array" ref="K27">SUM(IF(K17:K24="",0,1)*L6:L13)/SUM(IF(K17:K24="",0,1)*K6:K13)</f>
        <v>0.68729984273611888</v>
      </c>
      <c r="L27" s="93">
        <f t="array" ref="L27">SUM(IF(L17:L24="",0,1)*M6:M13)/SUM(IF(L17:L24="",0,1)*L6:L13)</f>
        <v>1.8261039091452891</v>
      </c>
      <c r="M27" s="93">
        <f t="array" ref="M27">SUM(IF(M17:M24="",0,1)*N6:N13)/SUM(IF(M17:M24="",0,1)*M6:M13)</f>
        <v>0.42274236168833373</v>
      </c>
      <c r="N27" s="93">
        <f t="array" ref="N27">SUM(IF(N17:N24="",0,1)*O6:O13)/SUM(IF(N17:N24="",0,1)*N6:N13)</f>
        <v>1.5790679141374262</v>
      </c>
      <c r="O27" s="93">
        <f t="array" ref="O27">SUM(IF(O17:O24="",0,1)*P6:P13)/SUM(IF(O17:O24="",0,1)*O6:O13)</f>
        <v>0.30081053715382811</v>
      </c>
      <c r="P27" s="93">
        <f t="array" ref="P27">SUM(IF(P17:P24="",0,1)*Q6:Q13)/SUM(IF(P17:P24="",0,1)*P6:P13)</f>
        <v>0.40429324546991907</v>
      </c>
      <c r="Q27" s="93">
        <f t="array" ref="Q27">SUM(IF(Q17:Q24="",0,1)*R6:R13)/SUM(IF(Q17:Q24="",0,1)*Q6:Q13)</f>
        <v>2.6229696532509559</v>
      </c>
      <c r="R27" s="93">
        <f t="array" ref="R27">SUM(IF(R17:R24="",0,1)*S6:S13)/SUM(IF(R17:R24="",0,1)*R6:R13)</f>
        <v>0.41174582083748013</v>
      </c>
      <c r="S27" s="93">
        <f t="array" ref="S27">SUM(IF(S17:S24="",0,1)*T6:T13)/SUM(IF(S17:S24="",0,1)*S6:S13)</f>
        <v>0.680595892672472</v>
      </c>
      <c r="T27" s="93">
        <f t="array" ref="T27">SUM(IF(T17:T24="",0,1)*U6:U13)/SUM(IF(T17:T24="",0,1)*T6:T13)</f>
        <v>0.97340300450919393</v>
      </c>
      <c r="U27" s="93">
        <f t="array" ref="U27">SUM(IF(U17:U24="",0,1)*V6:V13)/SUM(IF(U17:U24="",0,1)*U6:U13)</f>
        <v>1.8665072752977208</v>
      </c>
      <c r="V27" s="93">
        <f t="array" ref="V27">SUM(IF(V17:V24="",0,1)*W6:W13)/SUM(IF(V17:V24="",0,1)*V6:V13)</f>
        <v>0.93639990664139672</v>
      </c>
      <c r="W27" s="93">
        <f t="array" ref="W27">SUM(IF(W17:W24="",0,1)*X6:X13)/SUM(IF(W17:W24="",0,1)*W6:W13)</f>
        <v>0.38129277160836994</v>
      </c>
      <c r="X27" s="93">
        <f t="array" ref="X27">SUM(IF(X17:X24="",0,1)*Y6:Y13)/SUM(IF(X17:X24="",0,1)*X6:X13)</f>
        <v>1.1963473756172129</v>
      </c>
      <c r="Y27" s="93">
        <f t="array" ref="Y27">SUM(IF(Y17:Y24="",0,1)*Z6:Z13)/SUM(IF(Y17:Y24="",0,1)*Y6:Y13)</f>
        <v>0.42449639148095969</v>
      </c>
      <c r="Z27" s="93">
        <f t="array" ref="Z27">SUM(IF(Z17:Z24="",0,1)*AA6:AA13)/SUM(IF(Z17:Z24="",0,1)*Z6:Z13)</f>
        <v>7.5639490141120138</v>
      </c>
      <c r="AA27" s="93">
        <f t="array" ref="AA27">SUM(IF(AA17:AA24="",0,1)*AB6:AB13)/SUM(IF(AA17:AA24="",0,1)*AA6:AA13)</f>
        <v>8.7552688828996375E-2</v>
      </c>
      <c r="AB27" s="93">
        <f t="array" ref="AB27">SUM(IF(AB17:AB24="",0,1)*AC6:AC13)/SUM(IF(AB17:AB24="",0,1)*AB6:AB13)</f>
        <v>3.4539838553649993</v>
      </c>
      <c r="AC27" s="93">
        <f t="array" ref="AC27">SUM(IF(AC17:AC24="",0,1)*AD6:AD13)/SUM(IF(AC17:AC24="",0,1)*AC6:AC13)</f>
        <v>0.14203210248659107</v>
      </c>
      <c r="AD27" s="93">
        <f t="array" ref="AD27">SUM(IF(AD17:AD24="",0,1)*AE6:AE13)/SUM(IF(AD17:AD24="",0,1)*AD6:AD13)</f>
        <v>2.283837648234385</v>
      </c>
      <c r="AE27" s="93">
        <f t="array" ref="AE27">SUM(IF(AE17:AE24="",0,1)*AF6:AF13)/SUM(IF(AE17:AE24="",0,1)*AE6:AE13)</f>
        <v>2.9781960215299006</v>
      </c>
      <c r="AF27" s="93">
        <f t="array" ref="AF27">SUM(IF(AF17:AF24="",0,1)*AG6:AG13)/SUM(IF(AF17:AF24="",0,1)*AF6:AF13)</f>
        <v>0.45063964139012913</v>
      </c>
      <c r="AG27" s="93">
        <f t="array" ref="AG27">SUM(IF(AG17:AG24="",0,1)*AH6:AH13)/SUM(IF(AG17:AG24="",0,1)*AG6:AG13)</f>
        <v>0.17090333925583692</v>
      </c>
      <c r="AH27" s="93"/>
      <c r="AI27" s="93"/>
    </row>
    <row r="28" spans="2:35">
      <c r="B28" s="46" t="s">
        <v>91</v>
      </c>
      <c r="C28" s="94">
        <f>AVERAGE(C17:C24)</f>
        <v>2.2814721154216508</v>
      </c>
      <c r="D28" s="94">
        <f t="shared" ref="D28:AG28" si="19">AVERAGE(D17:D24)</f>
        <v>0.59946812094922364</v>
      </c>
      <c r="E28" s="94">
        <f t="shared" si="19"/>
        <v>0.44648254322005476</v>
      </c>
      <c r="F28" s="94">
        <f t="shared" si="19"/>
        <v>0.2920650469709814</v>
      </c>
      <c r="G28" s="94">
        <f t="shared" si="19"/>
        <v>0.48979520973870205</v>
      </c>
      <c r="H28" s="94" t="e">
        <f t="shared" si="19"/>
        <v>#VALUE!</v>
      </c>
      <c r="I28" s="94" t="e">
        <f t="shared" si="19"/>
        <v>#VALUE!</v>
      </c>
      <c r="J28" s="94">
        <f t="shared" si="19"/>
        <v>0.94430638696921931</v>
      </c>
      <c r="K28" s="94">
        <f t="shared" si="19"/>
        <v>0.68113841338133396</v>
      </c>
      <c r="L28" s="94">
        <f>AVERAGE(L17:L24)</f>
        <v>-0.3361513687647808</v>
      </c>
      <c r="M28" s="94">
        <f t="shared" si="19"/>
        <v>0.79539308614430559</v>
      </c>
      <c r="N28" s="94">
        <f t="shared" si="19"/>
        <v>2.4271426513200631</v>
      </c>
      <c r="O28" s="94">
        <f t="shared" si="19"/>
        <v>3.8910702420940924</v>
      </c>
      <c r="P28" s="94">
        <f t="shared" si="19"/>
        <v>4.8988721396510631</v>
      </c>
      <c r="Q28" s="94">
        <f t="shared" si="19"/>
        <v>2.1162153973892126</v>
      </c>
      <c r="R28" s="94">
        <f t="shared" si="19"/>
        <v>1.027239770590948</v>
      </c>
      <c r="S28" s="94">
        <f t="shared" si="19"/>
        <v>1.1488605634549243</v>
      </c>
      <c r="T28" s="94">
        <f t="shared" si="19"/>
        <v>1.7590050050247772</v>
      </c>
      <c r="U28" s="94">
        <f t="shared" si="19"/>
        <v>2.3226226325049444</v>
      </c>
      <c r="V28" s="94">
        <f t="shared" si="19"/>
        <v>2.8754929977924917</v>
      </c>
      <c r="W28" s="94">
        <f t="shared" si="19"/>
        <v>0.62223284584322891</v>
      </c>
      <c r="X28" s="94">
        <f t="shared" si="19"/>
        <v>-8.8550259001789033E-2</v>
      </c>
      <c r="Y28" s="94">
        <f t="shared" si="19"/>
        <v>0.93060172496610616</v>
      </c>
      <c r="Z28" s="94">
        <f t="shared" si="19"/>
        <v>17.129230677339507</v>
      </c>
      <c r="AA28" s="94">
        <f t="shared" si="19"/>
        <v>0.85131354917812863</v>
      </c>
      <c r="AB28" s="94">
        <f t="shared" si="19"/>
        <v>4.6906336924889613</v>
      </c>
      <c r="AC28" s="94">
        <f t="shared" si="19"/>
        <v>-5.1643543813476755</v>
      </c>
      <c r="AD28" s="94">
        <f t="shared" si="19"/>
        <v>1.4023389362153307</v>
      </c>
      <c r="AE28" s="94">
        <f t="shared" si="19"/>
        <v>-19.208196710765367</v>
      </c>
      <c r="AF28" s="94">
        <f t="shared" si="19"/>
        <v>2.6590917756446704</v>
      </c>
      <c r="AG28" s="94">
        <f t="shared" si="19"/>
        <v>0.1872396152046151</v>
      </c>
      <c r="AH28" s="94"/>
      <c r="AI28" s="94"/>
    </row>
    <row r="29" spans="2:35">
      <c r="B29" s="46" t="s">
        <v>92</v>
      </c>
      <c r="C29" s="95">
        <f>IFERROR(C28*COUNT(C17:C24)-MAX(C17:C24)-MIN(C17:C24)/(COUNT(C17:C24)-2),C28)</f>
        <v>2.2814721154216508</v>
      </c>
      <c r="D29" s="95">
        <f t="shared" ref="D29:F29" si="20">IFERROR(D28*COUNT(D17:D24)-MAX(D17:D24)-MIN(D17:D24)/(COUNT(D17:D24)-2),D28)</f>
        <v>0.59946812094922364</v>
      </c>
      <c r="E29" s="95">
        <f t="shared" si="20"/>
        <v>0.38709063098822322</v>
      </c>
      <c r="F29" s="95">
        <f t="shared" si="20"/>
        <v>0.6920328569911216</v>
      </c>
      <c r="G29" s="95">
        <f>IFERROR((G28*COUNT(G17:G24)-MAX(G17:G24)-MIN(G17:G24))/(COUNT(G17:G24)-2),G28)</f>
        <v>0.48158088923827896</v>
      </c>
      <c r="H29" s="95" t="e">
        <f t="shared" ref="H29:AG29" si="21">IFERROR((H28*COUNT(H17:H24)-MAX(H17:H24)-MIN(H17:H24))/(COUNT(H17:H24)-2),H28)</f>
        <v>#VALUE!</v>
      </c>
      <c r="I29" s="95" t="e">
        <f t="shared" si="21"/>
        <v>#VALUE!</v>
      </c>
      <c r="J29" s="95">
        <f t="shared" si="21"/>
        <v>0.74709307390292778</v>
      </c>
      <c r="K29" s="95">
        <f t="shared" si="21"/>
        <v>0.64639469892249124</v>
      </c>
      <c r="L29" s="95">
        <f t="shared" si="21"/>
        <v>1.2180986441406219</v>
      </c>
      <c r="M29" s="95">
        <f t="shared" si="21"/>
        <v>0.69651935547373867</v>
      </c>
      <c r="N29" s="95">
        <f t="shared" si="21"/>
        <v>1.1836821287212411</v>
      </c>
      <c r="O29" s="95">
        <f t="shared" si="21"/>
        <v>2.8121378003650963</v>
      </c>
      <c r="P29" s="95">
        <f t="shared" si="21"/>
        <v>0.29713387570374267</v>
      </c>
      <c r="Q29" s="95">
        <f t="shared" si="21"/>
        <v>0.79951174359941979</v>
      </c>
      <c r="R29" s="95">
        <f t="shared" si="21"/>
        <v>0.35049992207944514</v>
      </c>
      <c r="S29" s="95">
        <f t="shared" si="21"/>
        <v>1.164906864156054</v>
      </c>
      <c r="T29" s="95">
        <f t="shared" si="21"/>
        <v>1.1422385081475661</v>
      </c>
      <c r="U29" s="95">
        <f t="shared" si="21"/>
        <v>2.0776351196769434</v>
      </c>
      <c r="V29" s="95">
        <f t="shared" si="21"/>
        <v>1.4256500234767497</v>
      </c>
      <c r="W29" s="95">
        <f t="shared" si="21"/>
        <v>0.52296976054457489</v>
      </c>
      <c r="X29" s="95">
        <f t="shared" si="21"/>
        <v>0.52300699930403438</v>
      </c>
      <c r="Y29" s="95">
        <f t="shared" si="21"/>
        <v>0.78376123265324005</v>
      </c>
      <c r="Z29" s="95">
        <f t="shared" si="21"/>
        <v>4.3806473377871438</v>
      </c>
      <c r="AA29" s="95">
        <f t="shared" si="21"/>
        <v>0.59108162645666684</v>
      </c>
      <c r="AB29" s="95">
        <f t="shared" si="21"/>
        <v>1.7271560855959591</v>
      </c>
      <c r="AC29" s="95">
        <f t="shared" si="21"/>
        <v>-0.4079525259388026</v>
      </c>
      <c r="AD29" s="95">
        <f t="shared" si="21"/>
        <v>1.2328301462095745</v>
      </c>
      <c r="AE29" s="95">
        <f t="shared" si="21"/>
        <v>1.8462722317564442</v>
      </c>
      <c r="AF29" s="95">
        <f t="shared" si="21"/>
        <v>1.6683559650824442</v>
      </c>
      <c r="AG29" s="95">
        <f t="shared" si="21"/>
        <v>0.1872396152046151</v>
      </c>
      <c r="AH29" s="95">
        <f>IFERROR(AH28*COUNT(AH17:AH24)-MAX(AH17:AH24)-MIN(AH17:AH24)/(COUNT(AH17:AH24)-2),AH28)</f>
        <v>0</v>
      </c>
      <c r="AI29" s="95">
        <f>IFERROR(AI28*COUNT(AI17:AI24)-MAX(AI17:AI24)-MIN(AI17:AI24)/(COUNT(AI17:AI24)-2),AI28)</f>
        <v>0</v>
      </c>
    </row>
    <row r="30" spans="2:35">
      <c r="B30" s="38"/>
    </row>
    <row r="31" spans="2:35">
      <c r="B31" s="47" t="s">
        <v>15</v>
      </c>
      <c r="C31" s="93"/>
      <c r="D31" s="93">
        <f>D29</f>
        <v>0.59946812094922364</v>
      </c>
      <c r="E31" s="93">
        <f>IF(E27="",0,E27)</f>
        <v>0.46278882305526181</v>
      </c>
      <c r="F31" s="93">
        <f>IF(F27="",0,F27)</f>
        <v>0.31644445541588051</v>
      </c>
      <c r="G31" s="93">
        <f>G29</f>
        <v>0.48158088923827896</v>
      </c>
      <c r="H31" s="93" t="e">
        <f>H27</f>
        <v>#VALUE!</v>
      </c>
      <c r="I31" s="93" t="e">
        <f>I28</f>
        <v>#VALUE!</v>
      </c>
      <c r="J31" s="93">
        <f>J29</f>
        <v>0.74709307390292778</v>
      </c>
      <c r="K31" s="93">
        <f>K28</f>
        <v>0.68113841338133396</v>
      </c>
      <c r="L31" s="93">
        <f>L29</f>
        <v>1.2180986441406219</v>
      </c>
      <c r="M31" s="93">
        <f>M27</f>
        <v>0.42274236168833373</v>
      </c>
      <c r="N31" s="93">
        <f>N29</f>
        <v>1.1836821287212411</v>
      </c>
      <c r="O31" s="93">
        <f>O29</f>
        <v>2.8121378003650963</v>
      </c>
      <c r="P31" s="93">
        <f>P27</f>
        <v>0.40429324546991907</v>
      </c>
      <c r="Q31" s="93">
        <f>AVERAGE(Q21:Q22,Q18:Q19,Q24)</f>
        <v>1.730475860753955</v>
      </c>
      <c r="R31" s="93">
        <f>R29</f>
        <v>0.35049992207944514</v>
      </c>
      <c r="S31" s="93">
        <f>S29</f>
        <v>1.164906864156054</v>
      </c>
      <c r="T31" s="93">
        <f>T29</f>
        <v>1.1422385081475661</v>
      </c>
      <c r="U31" s="93">
        <f>AVERAGE(U18,U21:U24)</f>
        <v>1.0674644563663021</v>
      </c>
      <c r="V31" s="93">
        <f>V29</f>
        <v>1.4256500234767497</v>
      </c>
      <c r="W31" s="93">
        <f>W27</f>
        <v>0.38129277160836994</v>
      </c>
      <c r="X31" s="93">
        <f>X29</f>
        <v>0.52300699930403438</v>
      </c>
      <c r="Y31" s="93">
        <f>Y29</f>
        <v>0.78376123265324005</v>
      </c>
      <c r="Z31" s="93">
        <f>AVERAGE(Z17:Z18,Z20:Z21,Z23:Z24)</f>
        <v>2.0340813756055702</v>
      </c>
      <c r="AA31" s="93">
        <f>AA28</f>
        <v>0.85131354917812863</v>
      </c>
      <c r="AB31" s="93">
        <f>AB29</f>
        <v>1.7271560855959591</v>
      </c>
      <c r="AC31" s="93">
        <f>AC27</f>
        <v>0.14203210248659107</v>
      </c>
      <c r="AD31" s="93">
        <f>AVERAGE(AC31,AE31)</f>
        <v>0.99415216712151766</v>
      </c>
      <c r="AE31" s="93">
        <f>AE29</f>
        <v>1.8462722317564442</v>
      </c>
      <c r="AF31" s="93">
        <f>MIN(AF27:AF29)</f>
        <v>0.45063964139012913</v>
      </c>
      <c r="AG31" s="93">
        <v>0</v>
      </c>
      <c r="AH31" s="93">
        <v>0</v>
      </c>
      <c r="AI31" s="93">
        <v>0</v>
      </c>
    </row>
    <row r="32" spans="2:35">
      <c r="B32" s="47"/>
    </row>
    <row r="33" spans="2:35">
      <c r="B33" s="47" t="s">
        <v>140</v>
      </c>
      <c r="C33" s="16">
        <v>12</v>
      </c>
    </row>
    <row r="34" spans="2:35">
      <c r="B34" s="46" t="s">
        <v>141</v>
      </c>
      <c r="C34" s="16">
        <f>1984+27-1</f>
        <v>2010</v>
      </c>
    </row>
    <row r="35" spans="2:35">
      <c r="B35" s="38"/>
      <c r="C35" s="48">
        <f>C4+1</f>
        <v>2</v>
      </c>
      <c r="D35" s="48">
        <f t="shared" ref="D35:AI35" si="22">D4+1</f>
        <v>3</v>
      </c>
      <c r="E35" s="48">
        <f t="shared" si="22"/>
        <v>4</v>
      </c>
      <c r="F35" s="48">
        <f t="shared" si="22"/>
        <v>5</v>
      </c>
      <c r="G35" s="48">
        <f t="shared" si="22"/>
        <v>6</v>
      </c>
      <c r="H35" s="48">
        <f t="shared" si="22"/>
        <v>7</v>
      </c>
      <c r="I35" s="48">
        <f t="shared" si="22"/>
        <v>8</v>
      </c>
      <c r="J35" s="48">
        <f t="shared" si="22"/>
        <v>9</v>
      </c>
      <c r="K35" s="48">
        <f t="shared" si="22"/>
        <v>10</v>
      </c>
      <c r="L35" s="48">
        <f t="shared" si="22"/>
        <v>11</v>
      </c>
      <c r="M35" s="48">
        <f t="shared" si="22"/>
        <v>12</v>
      </c>
      <c r="N35" s="48">
        <f t="shared" si="22"/>
        <v>13</v>
      </c>
      <c r="O35" s="48">
        <f t="shared" si="22"/>
        <v>14</v>
      </c>
      <c r="P35" s="48">
        <f t="shared" si="22"/>
        <v>15</v>
      </c>
      <c r="Q35" s="48">
        <f t="shared" si="22"/>
        <v>16</v>
      </c>
      <c r="R35" s="48">
        <f t="shared" si="22"/>
        <v>17</v>
      </c>
      <c r="S35" s="48">
        <f t="shared" si="22"/>
        <v>18</v>
      </c>
      <c r="T35" s="48">
        <f t="shared" si="22"/>
        <v>19</v>
      </c>
      <c r="U35" s="48">
        <f t="shared" si="22"/>
        <v>20</v>
      </c>
      <c r="V35" s="48">
        <f t="shared" si="22"/>
        <v>21</v>
      </c>
      <c r="W35" s="48">
        <f t="shared" si="22"/>
        <v>22</v>
      </c>
      <c r="X35" s="48">
        <f t="shared" si="22"/>
        <v>23</v>
      </c>
      <c r="Y35" s="48">
        <f t="shared" si="22"/>
        <v>24</v>
      </c>
      <c r="Z35" s="48">
        <f t="shared" si="22"/>
        <v>25</v>
      </c>
      <c r="AA35" s="48">
        <f t="shared" si="22"/>
        <v>26</v>
      </c>
      <c r="AB35" s="48">
        <f t="shared" si="22"/>
        <v>27</v>
      </c>
      <c r="AC35" s="48">
        <f t="shared" si="22"/>
        <v>28</v>
      </c>
      <c r="AD35" s="48">
        <f t="shared" si="22"/>
        <v>29</v>
      </c>
      <c r="AE35" s="48">
        <f t="shared" si="22"/>
        <v>30</v>
      </c>
      <c r="AF35" s="48">
        <f t="shared" si="22"/>
        <v>31</v>
      </c>
      <c r="AG35" s="48">
        <f t="shared" si="22"/>
        <v>32</v>
      </c>
      <c r="AH35" s="48">
        <f t="shared" si="22"/>
        <v>33</v>
      </c>
      <c r="AI35" s="48">
        <f t="shared" si="22"/>
        <v>34</v>
      </c>
    </row>
    <row r="36" spans="2:35" ht="13.5" thickBot="1">
      <c r="B36" s="47" t="s">
        <v>93</v>
      </c>
      <c r="C36" s="194" t="str">
        <f t="shared" ref="C36:AI36" si="23">IFERROR(IF(C35=StartingAge,1,   IF(C35&gt;StartingAge,C31*B36,"")),"")</f>
        <v/>
      </c>
      <c r="D36" s="194" t="str">
        <f t="shared" si="23"/>
        <v/>
      </c>
      <c r="E36" s="194" t="str">
        <f t="shared" si="23"/>
        <v/>
      </c>
      <c r="F36" s="194" t="str">
        <f t="shared" si="23"/>
        <v/>
      </c>
      <c r="G36" s="194" t="str">
        <f t="shared" si="23"/>
        <v/>
      </c>
      <c r="H36" s="194" t="str">
        <f t="shared" si="23"/>
        <v/>
      </c>
      <c r="I36" s="194" t="str">
        <f t="shared" si="23"/>
        <v/>
      </c>
      <c r="J36" s="194" t="str">
        <f t="shared" si="23"/>
        <v/>
      </c>
      <c r="K36" s="194" t="str">
        <f t="shared" si="23"/>
        <v/>
      </c>
      <c r="L36" s="194" t="str">
        <f t="shared" si="23"/>
        <v/>
      </c>
      <c r="M36" s="194">
        <f t="shared" si="23"/>
        <v>1</v>
      </c>
      <c r="N36" s="194">
        <f t="shared" si="23"/>
        <v>1.1836821287212411</v>
      </c>
      <c r="O36" s="194">
        <f t="shared" si="23"/>
        <v>3.3286772577936259</v>
      </c>
      <c r="P36" s="194">
        <f t="shared" si="23"/>
        <v>1.3457617316752954</v>
      </c>
      <c r="Q36" s="194">
        <f t="shared" si="23"/>
        <v>2.3288081909905398</v>
      </c>
      <c r="R36" s="194">
        <f t="shared" si="23"/>
        <v>0.81624708948015778</v>
      </c>
      <c r="S36" s="194">
        <f t="shared" si="23"/>
        <v>0.95085183738283663</v>
      </c>
      <c r="T36" s="194">
        <f t="shared" si="23"/>
        <v>1.0860995842015435</v>
      </c>
      <c r="U36" s="194">
        <f t="shared" si="23"/>
        <v>1.1593727022093674</v>
      </c>
      <c r="V36" s="194">
        <f t="shared" si="23"/>
        <v>1.6528597201230875</v>
      </c>
      <c r="W36" s="194">
        <f t="shared" si="23"/>
        <v>0.63022346376556659</v>
      </c>
      <c r="X36" s="194">
        <f t="shared" si="23"/>
        <v>0.32961128267502382</v>
      </c>
      <c r="Y36" s="194">
        <f t="shared" si="23"/>
        <v>0.25833654520579219</v>
      </c>
      <c r="Z36" s="194">
        <f t="shared" si="23"/>
        <v>0.52547755524138839</v>
      </c>
      <c r="AA36" s="194">
        <f t="shared" si="23"/>
        <v>0.44734616256599252</v>
      </c>
      <c r="AB36" s="194">
        <f t="shared" si="23"/>
        <v>0.77263664704385326</v>
      </c>
      <c r="AC36" s="194">
        <f t="shared" si="23"/>
        <v>0.10973920743782865</v>
      </c>
      <c r="AD36" s="194">
        <f t="shared" si="23"/>
        <v>0.10909747089251512</v>
      </c>
      <c r="AE36" s="194">
        <f t="shared" si="23"/>
        <v>0.20142363106370759</v>
      </c>
      <c r="AF36" s="194">
        <f t="shared" si="23"/>
        <v>9.0769472870046858E-2</v>
      </c>
      <c r="AG36" s="194">
        <f t="shared" si="23"/>
        <v>0</v>
      </c>
      <c r="AH36" s="194">
        <f t="shared" si="23"/>
        <v>0</v>
      </c>
      <c r="AI36" s="194">
        <f t="shared" si="23"/>
        <v>0</v>
      </c>
    </row>
    <row r="37" spans="2:35" ht="14.25" thickTop="1" thickBot="1">
      <c r="B37" s="47" t="s">
        <v>94</v>
      </c>
      <c r="C37" s="194" t="str">
        <f t="shared" ref="C37:AI37" si="24">IFERROR(IF(C35=StartingAge,C36,     IF(C35&gt;StartingAge,C36+B37,    "")),"")</f>
        <v/>
      </c>
      <c r="D37" s="194" t="str">
        <f t="shared" si="24"/>
        <v/>
      </c>
      <c r="E37" s="194" t="str">
        <f t="shared" si="24"/>
        <v/>
      </c>
      <c r="F37" s="194" t="str">
        <f t="shared" si="24"/>
        <v/>
      </c>
      <c r="G37" s="194" t="str">
        <f t="shared" si="24"/>
        <v/>
      </c>
      <c r="H37" s="194" t="str">
        <f t="shared" si="24"/>
        <v/>
      </c>
      <c r="I37" s="194" t="str">
        <f t="shared" si="24"/>
        <v/>
      </c>
      <c r="J37" s="194" t="str">
        <f t="shared" si="24"/>
        <v/>
      </c>
      <c r="K37" s="194" t="str">
        <f t="shared" si="24"/>
        <v/>
      </c>
      <c r="L37" s="194" t="str">
        <f t="shared" si="24"/>
        <v/>
      </c>
      <c r="M37" s="194">
        <f t="shared" si="24"/>
        <v>1</v>
      </c>
      <c r="N37" s="194">
        <f t="shared" si="24"/>
        <v>2.1836821287212409</v>
      </c>
      <c r="O37" s="194">
        <f t="shared" si="24"/>
        <v>5.5123593865148663</v>
      </c>
      <c r="P37" s="194">
        <f t="shared" si="24"/>
        <v>6.8581211181901622</v>
      </c>
      <c r="Q37" s="194">
        <f t="shared" si="24"/>
        <v>9.1869293091807016</v>
      </c>
      <c r="R37" s="194">
        <f t="shared" si="24"/>
        <v>10.003176398660859</v>
      </c>
      <c r="S37" s="194">
        <f t="shared" si="24"/>
        <v>10.954028236043696</v>
      </c>
      <c r="T37" s="194">
        <f t="shared" si="24"/>
        <v>12.040127820245239</v>
      </c>
      <c r="U37" s="194">
        <f t="shared" si="24"/>
        <v>13.199500522454606</v>
      </c>
      <c r="V37" s="194">
        <f t="shared" si="24"/>
        <v>14.852360242577694</v>
      </c>
      <c r="W37" s="194">
        <f t="shared" si="24"/>
        <v>15.482583706343261</v>
      </c>
      <c r="X37" s="194">
        <f t="shared" si="24"/>
        <v>15.812194989018286</v>
      </c>
      <c r="Y37" s="194">
        <f t="shared" si="24"/>
        <v>16.070531534224077</v>
      </c>
      <c r="Z37" s="194">
        <f t="shared" si="24"/>
        <v>16.596009089465465</v>
      </c>
      <c r="AA37" s="194">
        <f t="shared" si="24"/>
        <v>17.043355252031457</v>
      </c>
      <c r="AB37" s="194">
        <f t="shared" si="24"/>
        <v>17.815991899075311</v>
      </c>
      <c r="AC37" s="194">
        <f t="shared" si="24"/>
        <v>17.92573110651314</v>
      </c>
      <c r="AD37" s="194">
        <f t="shared" si="24"/>
        <v>18.034828577405655</v>
      </c>
      <c r="AE37" s="194">
        <f t="shared" si="24"/>
        <v>18.236252208469363</v>
      </c>
      <c r="AF37" s="194">
        <f t="shared" si="24"/>
        <v>18.32702168133941</v>
      </c>
      <c r="AG37" s="194">
        <f t="shared" si="24"/>
        <v>18.32702168133941</v>
      </c>
      <c r="AH37" s="194">
        <f t="shared" si="24"/>
        <v>18.32702168133941</v>
      </c>
      <c r="AI37" s="194">
        <f t="shared" si="24"/>
        <v>18.32702168133941</v>
      </c>
    </row>
    <row r="38" spans="2:35" ht="13.5" thickTop="1"/>
    <row r="56" spans="1:13">
      <c r="A56" s="24" t="s">
        <v>40</v>
      </c>
    </row>
    <row r="57" spans="1:13">
      <c r="A57" s="24" t="s">
        <v>103</v>
      </c>
    </row>
    <row r="59" spans="1:13" ht="15.75">
      <c r="B59" s="99" t="s">
        <v>135</v>
      </c>
      <c r="C59" s="60"/>
      <c r="D59" s="61" t="s">
        <v>104</v>
      </c>
      <c r="F59" s="24" t="s">
        <v>151</v>
      </c>
      <c r="G59" s="115" t="s">
        <v>150</v>
      </c>
      <c r="L59" s="61" t="s">
        <v>105</v>
      </c>
      <c r="M59" s="61" t="s">
        <v>106</v>
      </c>
    </row>
    <row r="60" spans="1:13" ht="57">
      <c r="B60" s="62" t="s">
        <v>107</v>
      </c>
      <c r="C60" s="62" t="s">
        <v>108</v>
      </c>
      <c r="D60" s="62" t="s">
        <v>109</v>
      </c>
      <c r="L60" s="62" t="s">
        <v>110</v>
      </c>
      <c r="M60" s="62" t="s">
        <v>148</v>
      </c>
    </row>
    <row r="61" spans="1:13" ht="15" thickBot="1">
      <c r="B61" s="84">
        <v>12</v>
      </c>
      <c r="C61" s="84">
        <f>B61/12</f>
        <v>1</v>
      </c>
      <c r="D61" s="195" t="str">
        <f t="shared" ref="D61:D94" si="25">IFERROR(HLOOKUP(C61,$C$35:$AI$37,3,FALSE),"")</f>
        <v/>
      </c>
      <c r="F61" s="64" t="s">
        <v>111</v>
      </c>
      <c r="G61" s="60"/>
      <c r="L61" s="89">
        <f t="shared" ref="L61:L94" si="26">$G$64-$G$65*EXP(-$G$66*C61^$G$67)</f>
        <v>-3.0106901753450002</v>
      </c>
      <c r="M61" s="89">
        <f>$G$76*EXP($G$77*EXP($G$78*C61))+$G$79</f>
        <v>-14.100889672618598</v>
      </c>
    </row>
    <row r="62" spans="1:13" ht="15.75" thickTop="1" thickBot="1">
      <c r="B62" s="84">
        <f>B61+12</f>
        <v>24</v>
      </c>
      <c r="C62" s="84">
        <f t="shared" ref="C62:C92" si="27">B62/12</f>
        <v>2</v>
      </c>
      <c r="D62" s="195" t="str">
        <f t="shared" si="25"/>
        <v/>
      </c>
      <c r="F62" s="65" t="s">
        <v>112</v>
      </c>
      <c r="G62" s="66"/>
      <c r="L62" s="89">
        <f t="shared" si="26"/>
        <v>-3.0106901753450002</v>
      </c>
      <c r="M62" s="89">
        <f t="shared" ref="M62:M94" si="28">$G$76*EXP($G$77*EXP($G$78*C62))+$G$79</f>
        <v>-13.97114437950435</v>
      </c>
    </row>
    <row r="63" spans="1:13" ht="15.75" thickTop="1" thickBot="1">
      <c r="B63" s="84">
        <f t="shared" ref="B63:B94" si="29">B62+12</f>
        <v>36</v>
      </c>
      <c r="C63" s="84">
        <f t="shared" si="27"/>
        <v>3</v>
      </c>
      <c r="D63" s="195" t="str">
        <f t="shared" si="25"/>
        <v/>
      </c>
      <c r="F63" s="67" t="s">
        <v>113</v>
      </c>
      <c r="G63" s="68"/>
      <c r="H63" s="32" t="s">
        <v>149</v>
      </c>
      <c r="I63" t="s">
        <v>144</v>
      </c>
      <c r="J63" s="32" t="s">
        <v>152</v>
      </c>
      <c r="L63" s="89">
        <f t="shared" si="26"/>
        <v>-3.0106901753450002</v>
      </c>
      <c r="M63" s="89">
        <f t="shared" si="28"/>
        <v>-13.695076762325128</v>
      </c>
    </row>
    <row r="64" spans="1:13" ht="15.75" thickTop="1" thickBot="1">
      <c r="B64" s="84">
        <f t="shared" si="29"/>
        <v>48</v>
      </c>
      <c r="C64" s="84">
        <f t="shared" si="27"/>
        <v>4</v>
      </c>
      <c r="D64" s="195" t="str">
        <f t="shared" si="25"/>
        <v/>
      </c>
      <c r="F64" s="67" t="s">
        <v>114</v>
      </c>
      <c r="G64" s="192">
        <f>CHOOSE(VLOOKUP(Mode,$Q$95:$R$118,2,FALSE),  $I$65, $I$72, $K$64)</f>
        <v>-3.0106901753450002</v>
      </c>
      <c r="H64" s="191" t="s">
        <v>146</v>
      </c>
      <c r="I64" s="15">
        <v>-0.78088000000000002</v>
      </c>
      <c r="J64" s="85" t="str">
        <f>F64</f>
        <v>a =</v>
      </c>
      <c r="K64" s="16"/>
      <c r="L64" s="89">
        <f t="shared" si="26"/>
        <v>-3.0106901753450002</v>
      </c>
      <c r="M64" s="89">
        <f t="shared" si="28"/>
        <v>-13.193302076700625</v>
      </c>
    </row>
    <row r="65" spans="2:13" ht="15.75" thickTop="1" thickBot="1">
      <c r="B65" s="84">
        <f t="shared" si="29"/>
        <v>60</v>
      </c>
      <c r="C65" s="84">
        <f t="shared" si="27"/>
        <v>5</v>
      </c>
      <c r="D65" s="195" t="str">
        <f t="shared" si="25"/>
        <v/>
      </c>
      <c r="F65" s="67" t="s">
        <v>115</v>
      </c>
      <c r="G65" s="192">
        <f>CHOOSE( VLOOKUP(Mode,$Q$95:$R$118,2,FALSE),  $I$65-$I$66, -$I$69, $K$65)</f>
        <v>-22.94752093812</v>
      </c>
      <c r="H65" s="191" t="s">
        <v>143</v>
      </c>
      <c r="I65" s="15">
        <v>14.348229999999999</v>
      </c>
      <c r="J65" s="85" t="str">
        <f t="shared" ref="J65:J67" si="30">F65</f>
        <v>b =</v>
      </c>
      <c r="K65" s="16"/>
      <c r="L65" s="89">
        <f t="shared" si="26"/>
        <v>-3.0106901753449105</v>
      </c>
      <c r="M65" s="89">
        <f t="shared" si="28"/>
        <v>-12.393613678047837</v>
      </c>
    </row>
    <row r="66" spans="2:13" ht="15.75" thickTop="1" thickBot="1">
      <c r="B66" s="84">
        <f t="shared" si="29"/>
        <v>72</v>
      </c>
      <c r="C66" s="84">
        <f t="shared" si="27"/>
        <v>6</v>
      </c>
      <c r="D66" s="195" t="str">
        <f t="shared" si="25"/>
        <v/>
      </c>
      <c r="F66" s="67" t="s">
        <v>116</v>
      </c>
      <c r="G66" s="192">
        <f>CHOOSE(VLOOKUP(Mode,$Q$95:$R$118,2,FALSE),  EXP(-$I$64*LN($I$67)), -$I$70, $K$66)</f>
        <v>7167.7571841509998</v>
      </c>
      <c r="H66" s="191" t="s">
        <v>145</v>
      </c>
      <c r="I66" s="15">
        <v>1312.99109</v>
      </c>
      <c r="J66" s="85" t="str">
        <f t="shared" si="30"/>
        <v>c =</v>
      </c>
      <c r="K66" s="16"/>
      <c r="L66" s="89">
        <f t="shared" si="26"/>
        <v>-3.010689840845175</v>
      </c>
      <c r="M66" s="89">
        <f t="shared" si="28"/>
        <v>-11.251389677990328</v>
      </c>
    </row>
    <row r="67" spans="2:13" ht="15.75" thickTop="1" thickBot="1">
      <c r="B67" s="84">
        <f t="shared" si="29"/>
        <v>84</v>
      </c>
      <c r="C67" s="84">
        <f t="shared" si="27"/>
        <v>7</v>
      </c>
      <c r="D67" s="195" t="str">
        <f t="shared" si="25"/>
        <v/>
      </c>
      <c r="F67" s="67" t="s">
        <v>117</v>
      </c>
      <c r="G67" s="192">
        <f>CHOOSE(VLOOKUP(Mode,$Q$95:$R$118,2,FALSE),  $I$64, $I$71, $K$67)</f>
        <v>-3.340037467838</v>
      </c>
      <c r="H67" s="191" t="s">
        <v>147</v>
      </c>
      <c r="I67" s="15">
        <v>121.2518</v>
      </c>
      <c r="J67" s="85" t="str">
        <f t="shared" si="30"/>
        <v>d =</v>
      </c>
      <c r="K67" s="16"/>
      <c r="L67" s="89">
        <f t="shared" si="26"/>
        <v>-3.0102138487359382</v>
      </c>
      <c r="M67" s="89">
        <f t="shared" si="28"/>
        <v>-9.7622256793352769</v>
      </c>
    </row>
    <row r="68" spans="2:13" ht="16.5" thickTop="1" thickBot="1">
      <c r="B68" s="84">
        <f t="shared" si="29"/>
        <v>96</v>
      </c>
      <c r="C68" s="84">
        <f t="shared" si="27"/>
        <v>8</v>
      </c>
      <c r="D68" s="195" t="str">
        <f t="shared" si="25"/>
        <v/>
      </c>
      <c r="F68" s="69"/>
      <c r="G68" s="193"/>
      <c r="H68" s="32" t="s">
        <v>150</v>
      </c>
      <c r="L68" s="89">
        <f t="shared" si="26"/>
        <v>-2.9876299806920046</v>
      </c>
      <c r="M68" s="89">
        <f t="shared" si="28"/>
        <v>-7.9628246954578872</v>
      </c>
    </row>
    <row r="69" spans="2:13" ht="15.75" thickTop="1" thickBot="1">
      <c r="B69" s="84">
        <f t="shared" si="29"/>
        <v>108</v>
      </c>
      <c r="C69" s="84">
        <f t="shared" si="27"/>
        <v>9</v>
      </c>
      <c r="D69" s="195" t="str">
        <f t="shared" si="25"/>
        <v/>
      </c>
      <c r="F69" s="67" t="s">
        <v>118</v>
      </c>
      <c r="G69" s="90">
        <f>STEYX(L61:L94,C61:C94)</f>
        <v>2.4335283493068935</v>
      </c>
      <c r="H69" s="191" t="s">
        <v>153</v>
      </c>
      <c r="I69" s="15">
        <v>22.94752093812</v>
      </c>
      <c r="L69" s="89">
        <f t="shared" si="26"/>
        <v>-2.7929722204695251</v>
      </c>
      <c r="M69" s="89">
        <f t="shared" si="28"/>
        <v>-5.9218258293827208</v>
      </c>
    </row>
    <row r="70" spans="2:13" ht="15.75" thickTop="1" thickBot="1">
      <c r="B70" s="84">
        <f t="shared" si="29"/>
        <v>120</v>
      </c>
      <c r="C70" s="84">
        <f t="shared" si="27"/>
        <v>10</v>
      </c>
      <c r="D70" s="195" t="str">
        <f t="shared" si="25"/>
        <v/>
      </c>
      <c r="F70" s="70" t="s">
        <v>119</v>
      </c>
      <c r="G70" s="90">
        <f>IFERROR(CORREL(INDEX($D$61:$D$94,StartingAge,0,1):$D$94,INDEX($L$61:$L$94,StartingAge,0,1):$L$94), "Check Input.")</f>
        <v>0.99776673991101883</v>
      </c>
      <c r="H70" s="191" t="s">
        <v>154</v>
      </c>
      <c r="I70" s="15">
        <v>-7167.7571841509998</v>
      </c>
      <c r="L70" s="89">
        <f t="shared" si="26"/>
        <v>-2.1437667269714877</v>
      </c>
      <c r="M70" s="89">
        <f t="shared" si="28"/>
        <v>-3.7254726156884672</v>
      </c>
    </row>
    <row r="71" spans="2:13" ht="14.25" thickTop="1" thickBot="1">
      <c r="B71" s="84">
        <f t="shared" si="29"/>
        <v>132</v>
      </c>
      <c r="C71" s="84">
        <f t="shared" si="27"/>
        <v>11</v>
      </c>
      <c r="D71" s="195" t="str">
        <f t="shared" si="25"/>
        <v/>
      </c>
      <c r="H71" s="104" t="s">
        <v>155</v>
      </c>
      <c r="I71" s="15">
        <v>-3.340037467838</v>
      </c>
      <c r="L71" s="89">
        <f t="shared" si="26"/>
        <v>-0.89288153208496723</v>
      </c>
      <c r="M71" s="89">
        <f t="shared" si="28"/>
        <v>-1.4631640944788913</v>
      </c>
    </row>
    <row r="72" spans="2:13" ht="14.25" thickTop="1" thickBot="1">
      <c r="B72" s="84">
        <f t="shared" si="29"/>
        <v>144</v>
      </c>
      <c r="C72" s="84">
        <f t="shared" si="27"/>
        <v>12</v>
      </c>
      <c r="D72" s="195">
        <f t="shared" si="25"/>
        <v>1</v>
      </c>
      <c r="H72" s="104" t="s">
        <v>156</v>
      </c>
      <c r="I72" s="15">
        <v>-3.0106901753450002</v>
      </c>
      <c r="L72" s="89">
        <f t="shared" si="26"/>
        <v>0.85188409207500548</v>
      </c>
      <c r="M72" s="89">
        <f t="shared" si="28"/>
        <v>0.78379037483086478</v>
      </c>
    </row>
    <row r="73" spans="2:13" ht="15.75" thickTop="1" thickBot="1">
      <c r="B73" s="84">
        <f t="shared" si="29"/>
        <v>156</v>
      </c>
      <c r="C73" s="84">
        <f t="shared" si="27"/>
        <v>13</v>
      </c>
      <c r="D73" s="195">
        <f t="shared" si="25"/>
        <v>2.1836821287212409</v>
      </c>
      <c r="F73" s="64" t="s">
        <v>111</v>
      </c>
      <c r="G73" s="60"/>
      <c r="L73" s="89">
        <f t="shared" si="26"/>
        <v>2.8563301847381144</v>
      </c>
      <c r="M73" s="89">
        <f t="shared" si="28"/>
        <v>2.9489768924764377</v>
      </c>
    </row>
    <row r="74" spans="2:13" ht="15.75" thickTop="1" thickBot="1">
      <c r="B74" s="84">
        <f t="shared" si="29"/>
        <v>168</v>
      </c>
      <c r="C74" s="84">
        <f t="shared" si="27"/>
        <v>14</v>
      </c>
      <c r="D74" s="195">
        <f t="shared" si="25"/>
        <v>5.5123593865148663</v>
      </c>
      <c r="F74" s="71" t="s">
        <v>157</v>
      </c>
      <c r="G74" s="72"/>
      <c r="L74" s="89">
        <f t="shared" si="26"/>
        <v>4.9014513757507174</v>
      </c>
      <c r="M74" s="89">
        <f t="shared" si="28"/>
        <v>4.9835491027573546</v>
      </c>
    </row>
    <row r="75" spans="2:13" ht="15.75" thickTop="1" thickBot="1">
      <c r="B75" s="84">
        <f t="shared" si="29"/>
        <v>180</v>
      </c>
      <c r="C75" s="84">
        <f t="shared" si="27"/>
        <v>15</v>
      </c>
      <c r="D75" s="195">
        <f t="shared" si="25"/>
        <v>6.8581211181901622</v>
      </c>
      <c r="F75" s="73" t="s">
        <v>113</v>
      </c>
      <c r="G75" s="74"/>
      <c r="H75" s="32" t="s">
        <v>149</v>
      </c>
      <c r="I75" t="s">
        <v>144</v>
      </c>
      <c r="J75" s="32" t="s">
        <v>152</v>
      </c>
      <c r="L75" s="89">
        <f t="shared" si="26"/>
        <v>6.840109013984736</v>
      </c>
      <c r="M75" s="89">
        <f t="shared" si="28"/>
        <v>6.8558374214044413</v>
      </c>
    </row>
    <row r="76" spans="2:13" ht="15.75" thickTop="1" thickBot="1">
      <c r="B76" s="84">
        <f t="shared" si="29"/>
        <v>192</v>
      </c>
      <c r="C76" s="84">
        <f t="shared" si="27"/>
        <v>16</v>
      </c>
      <c r="D76" s="195">
        <f t="shared" si="25"/>
        <v>9.1869293091807016</v>
      </c>
      <c r="F76" s="73" t="s">
        <v>114</v>
      </c>
      <c r="G76" s="192">
        <f>IF(Mode="LAB Fit", $I81,     IF(Mode="R", $I$78-$I$77,      IF(Mode="Custom", $K$76)))</f>
        <v>33.206090056160001</v>
      </c>
      <c r="H76" s="191" t="s">
        <v>146</v>
      </c>
      <c r="I76" s="15">
        <v>-5.6942E-2</v>
      </c>
      <c r="J76" s="85" t="str">
        <f>F76</f>
        <v>a =</v>
      </c>
      <c r="K76" s="16"/>
      <c r="L76" s="89">
        <f t="shared" si="26"/>
        <v>8.5954561836596071</v>
      </c>
      <c r="M76" s="89">
        <f t="shared" si="28"/>
        <v>8.5491163533150001</v>
      </c>
    </row>
    <row r="77" spans="2:13" ht="15.75" thickTop="1" thickBot="1">
      <c r="B77" s="84">
        <f t="shared" si="29"/>
        <v>204</v>
      </c>
      <c r="C77" s="84">
        <f t="shared" si="27"/>
        <v>17</v>
      </c>
      <c r="D77" s="195">
        <f t="shared" si="25"/>
        <v>10.003176398660859</v>
      </c>
      <c r="F77" s="73" t="s">
        <v>115</v>
      </c>
      <c r="G77" s="192">
        <f>IF(Mode="LAB Fit", $I82,      IF(Mode="R", -EXP(-$I$76*$I$79),    IF(Mode="Custom", $K$77)))</f>
        <v>-7.4095020309570003</v>
      </c>
      <c r="H77" s="191" t="s">
        <v>143</v>
      </c>
      <c r="I77" s="15">
        <v>13.7286123</v>
      </c>
      <c r="J77" s="85" t="str">
        <f t="shared" ref="J77:J79" si="31">F77</f>
        <v>b =</v>
      </c>
      <c r="K77" s="16"/>
      <c r="L77" s="89">
        <f t="shared" si="26"/>
        <v>10.140189843308008</v>
      </c>
      <c r="M77" s="89">
        <f t="shared" si="28"/>
        <v>10.05855714067928</v>
      </c>
    </row>
    <row r="78" spans="2:13" ht="15.75" thickTop="1" thickBot="1">
      <c r="B78" s="84">
        <f t="shared" si="29"/>
        <v>216</v>
      </c>
      <c r="C78" s="84">
        <f t="shared" si="27"/>
        <v>18</v>
      </c>
      <c r="D78" s="195">
        <f t="shared" si="25"/>
        <v>10.954028236043696</v>
      </c>
      <c r="F78" s="73" t="s">
        <v>116</v>
      </c>
      <c r="G78" s="192">
        <f>IF(Mode="LAB Fit", $I83,      IF(Mode="R", $I$76,      IF(Mode="Custom", $K$78)))</f>
        <v>-0.1857353707452</v>
      </c>
      <c r="H78" s="191" t="s">
        <v>145</v>
      </c>
      <c r="I78" s="15">
        <v>534.81792329999996</v>
      </c>
      <c r="J78" s="85" t="str">
        <f t="shared" si="31"/>
        <v>c =</v>
      </c>
      <c r="K78" s="16"/>
      <c r="L78" s="89">
        <f t="shared" si="26"/>
        <v>11.476191599400913</v>
      </c>
      <c r="M78" s="89">
        <f t="shared" si="28"/>
        <v>11.388080054188023</v>
      </c>
    </row>
    <row r="79" spans="2:13" ht="15.75" thickTop="1" thickBot="1">
      <c r="B79" s="84">
        <f t="shared" si="29"/>
        <v>228</v>
      </c>
      <c r="C79" s="84">
        <f t="shared" si="27"/>
        <v>19</v>
      </c>
      <c r="D79" s="195">
        <f t="shared" si="25"/>
        <v>12.040127820245239</v>
      </c>
      <c r="F79" s="73" t="s">
        <v>117</v>
      </c>
      <c r="G79" s="106">
        <f>IF(Mode="LAB Fit", I84,     IF(Mode="R", $I$77,      IF(Mode="Custom",$K$79,)))</f>
        <v>-14.1714837671</v>
      </c>
      <c r="H79" s="191" t="s">
        <v>147</v>
      </c>
      <c r="I79" s="15">
        <v>39.906215899999999</v>
      </c>
      <c r="J79" s="85" t="str">
        <f t="shared" si="31"/>
        <v>d =</v>
      </c>
      <c r="K79" s="16"/>
      <c r="L79" s="89">
        <f t="shared" si="26"/>
        <v>12.620041894396046</v>
      </c>
      <c r="M79" s="89">
        <f t="shared" si="28"/>
        <v>12.547522065447936</v>
      </c>
    </row>
    <row r="80" spans="2:13" ht="15.75" thickTop="1" thickBot="1">
      <c r="B80" s="84">
        <f t="shared" si="29"/>
        <v>240</v>
      </c>
      <c r="C80" s="84">
        <f t="shared" si="27"/>
        <v>20</v>
      </c>
      <c r="D80" s="195">
        <f t="shared" si="25"/>
        <v>13.199500522454606</v>
      </c>
      <c r="F80" s="73"/>
      <c r="G80" s="74"/>
      <c r="H80" s="32" t="s">
        <v>150</v>
      </c>
      <c r="L80" s="89">
        <f t="shared" si="26"/>
        <v>13.594162164564359</v>
      </c>
      <c r="M80" s="89">
        <f t="shared" si="28"/>
        <v>13.550307603537142</v>
      </c>
    </row>
    <row r="81" spans="2:20" ht="15.75" thickTop="1" thickBot="1">
      <c r="B81" s="84">
        <f t="shared" si="29"/>
        <v>252</v>
      </c>
      <c r="C81" s="84">
        <f t="shared" si="27"/>
        <v>21</v>
      </c>
      <c r="D81" s="195">
        <f t="shared" si="25"/>
        <v>14.852360242577694</v>
      </c>
      <c r="F81" s="73" t="s">
        <v>118</v>
      </c>
      <c r="G81" s="90">
        <f>STEYX(M61:M94,C61:C94)</f>
        <v>3.4950894470191698</v>
      </c>
      <c r="H81" s="191" t="s">
        <v>153</v>
      </c>
      <c r="I81" s="15">
        <v>33.206090056160001</v>
      </c>
      <c r="L81" s="89">
        <f t="shared" si="26"/>
        <v>14.421939784520202</v>
      </c>
      <c r="M81" s="89">
        <f t="shared" si="28"/>
        <v>14.411661161860128</v>
      </c>
    </row>
    <row r="82" spans="2:20" ht="15.75" thickTop="1" thickBot="1">
      <c r="B82" s="84">
        <f t="shared" si="29"/>
        <v>264</v>
      </c>
      <c r="C82" s="84">
        <f t="shared" si="27"/>
        <v>22</v>
      </c>
      <c r="D82" s="195">
        <f t="shared" si="25"/>
        <v>15.482583706343261</v>
      </c>
      <c r="F82" s="75" t="s">
        <v>119</v>
      </c>
      <c r="G82" s="90">
        <f>IFERROR(CORREL(INDEX($D$61:$D$94,StartingAge,0,1):$D$94,INDEX($M$61:$M$94,StartingAge,0,1):$M$94), "Check Input.")</f>
        <v>0.99797842593533426</v>
      </c>
      <c r="H82" s="191" t="s">
        <v>154</v>
      </c>
      <c r="I82" s="15">
        <v>-7.4095020309570003</v>
      </c>
      <c r="L82" s="89">
        <f t="shared" si="26"/>
        <v>15.12531956750729</v>
      </c>
      <c r="M82" s="89">
        <f t="shared" si="28"/>
        <v>15.147317203562199</v>
      </c>
    </row>
    <row r="83" spans="2:20" ht="14.25" thickTop="1" thickBot="1">
      <c r="B83" s="84">
        <f t="shared" si="29"/>
        <v>276</v>
      </c>
      <c r="C83" s="84">
        <f t="shared" si="27"/>
        <v>23</v>
      </c>
      <c r="D83" s="195">
        <f t="shared" si="25"/>
        <v>15.812194989018286</v>
      </c>
      <c r="G83" s="105"/>
      <c r="H83" s="104" t="s">
        <v>155</v>
      </c>
      <c r="I83" s="15">
        <v>-0.1857353707452</v>
      </c>
      <c r="L83" s="89">
        <f t="shared" si="26"/>
        <v>15.723801866333389</v>
      </c>
      <c r="M83" s="89">
        <f t="shared" si="28"/>
        <v>15.772645632864872</v>
      </c>
    </row>
    <row r="84" spans="2:20" ht="14.25" thickTop="1" thickBot="1">
      <c r="B84" s="84">
        <f t="shared" si="29"/>
        <v>288</v>
      </c>
      <c r="C84" s="84">
        <f t="shared" si="27"/>
        <v>24</v>
      </c>
      <c r="D84" s="195">
        <f t="shared" si="25"/>
        <v>16.070531534224077</v>
      </c>
      <c r="H84" s="104" t="s">
        <v>156</v>
      </c>
      <c r="I84" s="15">
        <v>-14.1714837671</v>
      </c>
      <c r="L84" s="89">
        <f t="shared" si="26"/>
        <v>16.234189220657274</v>
      </c>
      <c r="M84" s="89">
        <f t="shared" si="28"/>
        <v>16.302102403316745</v>
      </c>
    </row>
    <row r="85" spans="2:20" ht="14.25" thickTop="1" thickBot="1">
      <c r="B85" s="84">
        <f t="shared" si="29"/>
        <v>300</v>
      </c>
      <c r="C85" s="84">
        <f t="shared" si="27"/>
        <v>25</v>
      </c>
      <c r="D85" s="195">
        <f t="shared" si="25"/>
        <v>16.596009089465465</v>
      </c>
      <c r="F85" t="s">
        <v>142</v>
      </c>
      <c r="L85" s="89">
        <f t="shared" si="26"/>
        <v>16.670700179188952</v>
      </c>
      <c r="M85" s="89">
        <f t="shared" si="28"/>
        <v>16.748921450153599</v>
      </c>
    </row>
    <row r="86" spans="2:20" ht="14.25" thickTop="1" thickBot="1">
      <c r="B86" s="84">
        <f t="shared" si="29"/>
        <v>312</v>
      </c>
      <c r="C86" s="84">
        <f t="shared" si="27"/>
        <v>26</v>
      </c>
      <c r="D86" s="195">
        <f t="shared" si="25"/>
        <v>17.043355252031457</v>
      </c>
      <c r="L86" s="89">
        <f t="shared" si="26"/>
        <v>17.045240277938603</v>
      </c>
      <c r="M86" s="89">
        <f t="shared" si="28"/>
        <v>17.124977409364483</v>
      </c>
    </row>
    <row r="87" spans="2:20" ht="14.25" thickTop="1" thickBot="1">
      <c r="B87" s="84">
        <f t="shared" si="29"/>
        <v>324</v>
      </c>
      <c r="C87" s="84">
        <f t="shared" si="27"/>
        <v>27</v>
      </c>
      <c r="D87" s="195">
        <f t="shared" si="25"/>
        <v>17.815991899075311</v>
      </c>
      <c r="L87" s="89">
        <f t="shared" si="26"/>
        <v>17.367720178321605</v>
      </c>
      <c r="M87" s="89">
        <f t="shared" si="28"/>
        <v>17.440763432746451</v>
      </c>
    </row>
    <row r="88" spans="2:20" ht="14.25" thickTop="1" thickBot="1">
      <c r="B88" s="84">
        <f t="shared" si="29"/>
        <v>336</v>
      </c>
      <c r="C88" s="84">
        <f t="shared" si="27"/>
        <v>28</v>
      </c>
      <c r="D88" s="195">
        <f t="shared" si="25"/>
        <v>17.92573110651314</v>
      </c>
      <c r="L88" s="89">
        <f t="shared" si="26"/>
        <v>17.646367034437112</v>
      </c>
      <c r="M88" s="89">
        <f t="shared" si="28"/>
        <v>17.705442193297298</v>
      </c>
    </row>
    <row r="89" spans="2:20" ht="14.25" thickTop="1" thickBot="1">
      <c r="B89" s="84">
        <f t="shared" si="29"/>
        <v>348</v>
      </c>
      <c r="C89" s="84">
        <f t="shared" si="27"/>
        <v>29</v>
      </c>
      <c r="D89" s="195">
        <f t="shared" si="25"/>
        <v>18.034828577405655</v>
      </c>
      <c r="L89" s="89">
        <f t="shared" si="26"/>
        <v>17.888005500989674</v>
      </c>
      <c r="M89" s="89">
        <f t="shared" si="28"/>
        <v>17.926939792043065</v>
      </c>
    </row>
    <row r="90" spans="2:20" ht="14.25" thickTop="1" thickBot="1">
      <c r="B90" s="84">
        <f t="shared" si="29"/>
        <v>360</v>
      </c>
      <c r="C90" s="84">
        <f t="shared" si="27"/>
        <v>30</v>
      </c>
      <c r="D90" s="195">
        <f t="shared" si="25"/>
        <v>18.236252208469363</v>
      </c>
      <c r="L90" s="89">
        <f t="shared" si="26"/>
        <v>18.098300579202231</v>
      </c>
      <c r="M90" s="89">
        <f t="shared" si="28"/>
        <v>18.112061479448691</v>
      </c>
    </row>
    <row r="91" spans="2:20" ht="14.25" thickTop="1" thickBot="1">
      <c r="B91" s="84">
        <f t="shared" si="29"/>
        <v>372</v>
      </c>
      <c r="C91" s="84">
        <f t="shared" si="27"/>
        <v>31</v>
      </c>
      <c r="D91" s="195">
        <f t="shared" si="25"/>
        <v>18.32702168133941</v>
      </c>
      <c r="L91" s="89">
        <f t="shared" si="26"/>
        <v>18.281962261795304</v>
      </c>
      <c r="M91" s="89">
        <f t="shared" si="28"/>
        <v>18.266615074863736</v>
      </c>
    </row>
    <row r="92" spans="2:20" ht="14.25" thickTop="1" thickBot="1">
      <c r="B92" s="84">
        <f t="shared" si="29"/>
        <v>384</v>
      </c>
      <c r="C92" s="84">
        <f t="shared" si="27"/>
        <v>32</v>
      </c>
      <c r="D92" s="195">
        <f t="shared" si="25"/>
        <v>18.32702168133941</v>
      </c>
      <c r="L92" s="89">
        <f t="shared" si="26"/>
        <v>18.442915395567098</v>
      </c>
      <c r="M92" s="89">
        <f t="shared" si="28"/>
        <v>18.395533062189884</v>
      </c>
    </row>
    <row r="93" spans="2:20" ht="15.75" thickTop="1" thickBot="1">
      <c r="B93" s="84">
        <f t="shared" si="29"/>
        <v>396</v>
      </c>
      <c r="C93" s="84">
        <f>C92+1</f>
        <v>33</v>
      </c>
      <c r="D93" s="195">
        <f t="shared" si="25"/>
        <v>18.32702168133941</v>
      </c>
      <c r="E93" s="63"/>
      <c r="F93" s="63"/>
      <c r="L93" s="89">
        <f t="shared" si="26"/>
        <v>18.584439400894126</v>
      </c>
      <c r="M93" s="89">
        <f t="shared" si="28"/>
        <v>18.502987949394708</v>
      </c>
    </row>
    <row r="94" spans="2:20" ht="15.75" thickTop="1" thickBot="1">
      <c r="B94" s="84">
        <f t="shared" si="29"/>
        <v>408</v>
      </c>
      <c r="C94" s="84">
        <f>C93+1</f>
        <v>34</v>
      </c>
      <c r="D94" s="195">
        <f t="shared" si="25"/>
        <v>18.32702168133941</v>
      </c>
      <c r="E94" s="63"/>
      <c r="L94" s="89">
        <f t="shared" si="26"/>
        <v>18.709282602820942</v>
      </c>
      <c r="M94" s="89">
        <f t="shared" si="28"/>
        <v>18.592497960977454</v>
      </c>
    </row>
    <row r="95" spans="2:20" ht="13.5" thickTop="1">
      <c r="P95" s="107"/>
      <c r="Q95" s="108" t="s">
        <v>149</v>
      </c>
      <c r="R95" s="108">
        <v>1</v>
      </c>
      <c r="S95" s="108" t="s">
        <v>105</v>
      </c>
      <c r="T95" s="107"/>
    </row>
    <row r="96" spans="2:20">
      <c r="P96" s="107"/>
      <c r="Q96" s="108" t="s">
        <v>150</v>
      </c>
      <c r="R96" s="108">
        <v>2</v>
      </c>
      <c r="S96" s="108" t="s">
        <v>106</v>
      </c>
      <c r="T96" s="107"/>
    </row>
    <row r="97" spans="1:20">
      <c r="P97" s="107"/>
      <c r="Q97" s="108"/>
      <c r="R97" s="108"/>
      <c r="S97" s="108"/>
      <c r="T97" s="107"/>
    </row>
    <row r="98" spans="1:20">
      <c r="P98" s="107"/>
      <c r="Q98" s="108"/>
      <c r="R98" s="108"/>
      <c r="S98" s="108"/>
      <c r="T98" s="107"/>
    </row>
    <row r="99" spans="1:20">
      <c r="A99" s="24" t="s">
        <v>42</v>
      </c>
      <c r="B99" s="24" t="s">
        <v>95</v>
      </c>
      <c r="P99" s="107"/>
      <c r="Q99" s="108"/>
      <c r="R99" s="108"/>
      <c r="S99" s="108"/>
      <c r="T99" s="107"/>
    </row>
    <row r="100" spans="1:20">
      <c r="B100" s="32" t="s">
        <v>134</v>
      </c>
      <c r="P100" s="107"/>
      <c r="Q100" s="108"/>
      <c r="R100" s="108"/>
      <c r="S100" s="108"/>
      <c r="T100" s="107"/>
    </row>
    <row r="101" spans="1:20">
      <c r="B101" s="50" t="str">
        <f t="shared" ref="B101:G101" si="32">TEXT(COLUMN(),"(##)")</f>
        <v>(2)</v>
      </c>
      <c r="C101" s="50" t="str">
        <f t="shared" si="32"/>
        <v>(3)</v>
      </c>
      <c r="D101" s="50" t="str">
        <f t="shared" si="32"/>
        <v>(4)</v>
      </c>
      <c r="E101" s="50" t="str">
        <f t="shared" si="32"/>
        <v>(5)</v>
      </c>
      <c r="F101" s="50" t="str">
        <f t="shared" si="32"/>
        <v>(6)</v>
      </c>
      <c r="G101" s="50" t="str">
        <f t="shared" si="32"/>
        <v>(7)</v>
      </c>
      <c r="P101" s="107"/>
      <c r="Q101" s="108"/>
      <c r="R101" s="108"/>
      <c r="S101" s="108"/>
      <c r="T101" s="107"/>
    </row>
    <row r="102" spans="1:20">
      <c r="B102" s="51" t="s">
        <v>34</v>
      </c>
      <c r="C102" s="51" t="s">
        <v>96</v>
      </c>
      <c r="D102" s="51" t="s">
        <v>97</v>
      </c>
      <c r="E102" s="51" t="s">
        <v>98</v>
      </c>
      <c r="F102" s="51" t="s">
        <v>98</v>
      </c>
      <c r="G102" s="51" t="s">
        <v>99</v>
      </c>
      <c r="P102" s="107"/>
      <c r="Q102" s="108"/>
      <c r="R102" s="108"/>
      <c r="S102" s="108"/>
      <c r="T102" s="107"/>
    </row>
    <row r="103" spans="1:20" ht="25.5">
      <c r="B103" s="52"/>
      <c r="C103" s="52"/>
      <c r="D103" s="52"/>
      <c r="E103" s="53" t="s">
        <v>100</v>
      </c>
      <c r="F103" s="53" t="s">
        <v>101</v>
      </c>
      <c r="G103" s="53" t="s">
        <v>102</v>
      </c>
      <c r="P103" s="107"/>
      <c r="Q103" s="108"/>
      <c r="R103" s="108"/>
      <c r="S103" s="108"/>
      <c r="T103" s="107"/>
    </row>
    <row r="104" spans="1:20">
      <c r="B104" s="54"/>
      <c r="C104" s="54"/>
      <c r="D104" s="54"/>
      <c r="E104" s="54"/>
      <c r="F104" s="54"/>
      <c r="G104" s="54"/>
      <c r="P104" s="107"/>
      <c r="Q104" s="108"/>
      <c r="R104" s="108"/>
      <c r="S104" s="108"/>
      <c r="T104" s="107"/>
    </row>
    <row r="105" spans="1:20" ht="13.5" thickBot="1">
      <c r="B105" s="55">
        <v>1977</v>
      </c>
      <c r="C105" s="90">
        <f t="shared" ref="C105:D110" si="33">C106+1</f>
        <v>19</v>
      </c>
      <c r="D105" s="90">
        <f t="shared" si="33"/>
        <v>34</v>
      </c>
      <c r="E105" s="92">
        <f ca="1">SUM($C6:OFFSET($C6,0,C105-1))</f>
        <v>167714.88212117003</v>
      </c>
      <c r="F105" s="92">
        <f t="shared" ref="F105:F112" si="34">SUM(C6:AJ6)</f>
        <v>193977.86423717003</v>
      </c>
      <c r="G105" s="92">
        <f ca="1">F105-E105</f>
        <v>26262.982115999999</v>
      </c>
      <c r="P105" s="107"/>
      <c r="Q105" s="108"/>
      <c r="R105" s="108"/>
      <c r="S105" s="108"/>
      <c r="T105" s="107"/>
    </row>
    <row r="106" spans="1:20" ht="14.25" thickTop="1" thickBot="1">
      <c r="B106" s="55">
        <v>1978</v>
      </c>
      <c r="C106" s="90">
        <f t="shared" si="33"/>
        <v>18</v>
      </c>
      <c r="D106" s="90">
        <f t="shared" si="33"/>
        <v>33</v>
      </c>
      <c r="E106" s="92">
        <f ca="1">SUM($C7:OFFSET($C7,0,C106-1))</f>
        <v>283304.87680390006</v>
      </c>
      <c r="F106" s="92">
        <f t="shared" si="34"/>
        <v>327594.01680390013</v>
      </c>
      <c r="G106" s="92">
        <f t="shared" ref="G106:G112" ca="1" si="35">F106-E106</f>
        <v>44289.140000000072</v>
      </c>
      <c r="P106" s="107"/>
      <c r="Q106" s="108"/>
      <c r="R106" s="108"/>
      <c r="S106" s="108"/>
      <c r="T106" s="107"/>
    </row>
    <row r="107" spans="1:20" ht="14.25" thickTop="1" thickBot="1">
      <c r="B107" s="55">
        <v>1979</v>
      </c>
      <c r="C107" s="90">
        <f t="shared" si="33"/>
        <v>17</v>
      </c>
      <c r="D107" s="90">
        <f t="shared" si="33"/>
        <v>32</v>
      </c>
      <c r="E107" s="92">
        <f ca="1">SUM($C8:OFFSET($C8,0,C107-1))</f>
        <v>1648002.5525032098</v>
      </c>
      <c r="F107" s="92">
        <f t="shared" si="34"/>
        <v>2122344.1447074697</v>
      </c>
      <c r="G107" s="92">
        <f t="shared" ca="1" si="35"/>
        <v>474341.59220425994</v>
      </c>
      <c r="P107" s="107"/>
      <c r="Q107" s="108"/>
      <c r="R107" s="108"/>
      <c r="S107" s="108"/>
      <c r="T107" s="107"/>
    </row>
    <row r="108" spans="1:20" ht="14.25" thickTop="1" thickBot="1">
      <c r="B108" s="55">
        <v>1980</v>
      </c>
      <c r="C108" s="90">
        <f t="shared" si="33"/>
        <v>16</v>
      </c>
      <c r="D108" s="90">
        <f t="shared" si="33"/>
        <v>31</v>
      </c>
      <c r="E108" s="92">
        <f ca="1">SUM($C9:OFFSET($C9,0,C108-1))</f>
        <v>5034855.2233645599</v>
      </c>
      <c r="F108" s="92">
        <f t="shared" si="34"/>
        <v>5500332.4360821815</v>
      </c>
      <c r="G108" s="92">
        <f t="shared" ca="1" si="35"/>
        <v>465477.21271762159</v>
      </c>
      <c r="P108" s="107"/>
      <c r="Q108" s="108"/>
      <c r="R108" s="108"/>
      <c r="S108" s="108"/>
      <c r="T108" s="107"/>
    </row>
    <row r="109" spans="1:20" ht="14.25" thickTop="1" thickBot="1">
      <c r="B109" s="55">
        <v>1981</v>
      </c>
      <c r="C109" s="90">
        <f t="shared" si="33"/>
        <v>15</v>
      </c>
      <c r="D109" s="90">
        <f t="shared" si="33"/>
        <v>30</v>
      </c>
      <c r="E109" s="92">
        <f ca="1">SUM($C10:OFFSET($C10,0,C109-1))</f>
        <v>3957023.2710878989</v>
      </c>
      <c r="F109" s="92">
        <f t="shared" si="34"/>
        <v>4239343.0477557387</v>
      </c>
      <c r="G109" s="92">
        <f t="shared" ca="1" si="35"/>
        <v>282319.77666783985</v>
      </c>
      <c r="P109" s="107"/>
      <c r="Q109" s="108"/>
      <c r="R109" s="108"/>
      <c r="S109" s="108"/>
      <c r="T109" s="107"/>
    </row>
    <row r="110" spans="1:20" ht="14.25" thickTop="1" thickBot="1">
      <c r="B110" s="55">
        <v>1982</v>
      </c>
      <c r="C110" s="90">
        <f t="shared" si="33"/>
        <v>14</v>
      </c>
      <c r="D110" s="90">
        <f t="shared" si="33"/>
        <v>29</v>
      </c>
      <c r="E110" s="92">
        <f ca="1">SUM($C11:OFFSET($C11,0,C110-1))</f>
        <v>11884039.255928008</v>
      </c>
      <c r="F110" s="92">
        <f t="shared" si="34"/>
        <v>12089246.558031339</v>
      </c>
      <c r="G110" s="92">
        <f t="shared" ca="1" si="35"/>
        <v>205207.30210333131</v>
      </c>
      <c r="P110" s="107"/>
      <c r="Q110" s="108"/>
      <c r="R110" s="108"/>
      <c r="S110" s="108"/>
      <c r="T110" s="107"/>
    </row>
    <row r="111" spans="1:20" ht="14.25" thickTop="1" thickBot="1">
      <c r="B111" s="55">
        <v>1983</v>
      </c>
      <c r="C111" s="90">
        <f>C112+1</f>
        <v>13</v>
      </c>
      <c r="D111" s="90">
        <f>D112+1</f>
        <v>28</v>
      </c>
      <c r="E111" s="92">
        <f ca="1">SUM($C12:OFFSET($C12,0,C111-1))</f>
        <v>32726221.457758866</v>
      </c>
      <c r="F111" s="92">
        <f t="shared" si="34"/>
        <v>33381937.997316148</v>
      </c>
      <c r="G111" s="92">
        <f t="shared" ca="1" si="35"/>
        <v>655716.53955728188</v>
      </c>
      <c r="P111" s="107"/>
      <c r="Q111" s="108"/>
      <c r="R111" s="108"/>
      <c r="S111" s="108"/>
      <c r="T111" s="107"/>
    </row>
    <row r="112" spans="1:20" ht="14.25" thickTop="1" thickBot="1">
      <c r="B112" s="58">
        <v>1984</v>
      </c>
      <c r="C112" s="90">
        <f>StartingAge</f>
        <v>12</v>
      </c>
      <c r="D112" s="90">
        <f>(C34-B112)+1</f>
        <v>27</v>
      </c>
      <c r="E112" s="92">
        <f ca="1">SUM($C13:OFFSET($C13,0,C112-1))</f>
        <v>15094624.591576425</v>
      </c>
      <c r="F112" s="92">
        <f t="shared" si="34"/>
        <v>15371995.755882228</v>
      </c>
      <c r="G112" s="92">
        <f t="shared" ca="1" si="35"/>
        <v>277371.16430580243</v>
      </c>
      <c r="P112" s="107"/>
      <c r="Q112" s="108"/>
      <c r="R112" s="108"/>
      <c r="S112" s="108"/>
      <c r="T112" s="107"/>
    </row>
    <row r="113" spans="1:20" ht="13.5" thickTop="1">
      <c r="B113" s="54"/>
      <c r="C113" s="56"/>
      <c r="D113" s="56"/>
      <c r="E113" s="59"/>
      <c r="F113" s="59"/>
      <c r="G113" s="59"/>
      <c r="P113" s="107"/>
      <c r="Q113" s="108"/>
      <c r="R113" s="108"/>
      <c r="S113" s="108"/>
      <c r="T113" s="107"/>
    </row>
    <row r="114" spans="1:20">
      <c r="B114" s="54" t="s">
        <v>21</v>
      </c>
      <c r="C114" s="56"/>
      <c r="D114" s="56"/>
      <c r="E114" s="92">
        <f ca="1">SUM(E105:E112)</f>
        <v>70795786.111144036</v>
      </c>
      <c r="F114" s="92">
        <f>SUM(F105:F112)</f>
        <v>73226771.820816174</v>
      </c>
      <c r="G114" s="92">
        <f ca="1">SUM(G105:G112)</f>
        <v>2430985.7096721372</v>
      </c>
      <c r="P114" s="107"/>
      <c r="Q114" s="108"/>
      <c r="R114" s="108"/>
      <c r="S114" s="108"/>
      <c r="T114" s="107"/>
    </row>
    <row r="115" spans="1:20">
      <c r="P115" s="107"/>
      <c r="Q115" s="108"/>
      <c r="R115" s="108"/>
      <c r="S115" s="108"/>
      <c r="T115" s="107"/>
    </row>
    <row r="116" spans="1:20">
      <c r="P116" s="107"/>
      <c r="Q116" s="108"/>
      <c r="R116" s="108"/>
      <c r="S116" s="108"/>
      <c r="T116" s="107"/>
    </row>
    <row r="117" spans="1:20">
      <c r="P117" s="107"/>
      <c r="Q117" s="108"/>
      <c r="R117" s="108"/>
      <c r="S117" s="108"/>
      <c r="T117" s="107"/>
    </row>
    <row r="118" spans="1:20">
      <c r="I118" s="24" t="s">
        <v>58</v>
      </c>
      <c r="P118" s="107"/>
      <c r="Q118" s="108" t="s">
        <v>152</v>
      </c>
      <c r="R118" s="108">
        <v>3</v>
      </c>
      <c r="S118" s="107"/>
      <c r="T118" s="107"/>
    </row>
    <row r="119" spans="1:20">
      <c r="A119" s="24"/>
      <c r="I119" s="24" t="s">
        <v>125</v>
      </c>
      <c r="P119" s="107"/>
      <c r="Q119" s="107"/>
      <c r="R119" s="107"/>
      <c r="S119" s="107"/>
      <c r="T119" s="107"/>
    </row>
    <row r="120" spans="1:20">
      <c r="B120" s="32"/>
      <c r="P120" s="107"/>
      <c r="Q120" s="107"/>
      <c r="R120" s="107"/>
      <c r="S120" s="107"/>
      <c r="T120" s="107"/>
    </row>
    <row r="121" spans="1:20" ht="25.5">
      <c r="B121" s="50" t="str">
        <f t="shared" ref="B121:G121" si="36">TEXT(COLUMN(),"(##)")</f>
        <v>(2)</v>
      </c>
      <c r="C121" s="50" t="str">
        <f t="shared" si="36"/>
        <v>(3)</v>
      </c>
      <c r="D121" s="50" t="str">
        <f t="shared" si="36"/>
        <v>(4)</v>
      </c>
      <c r="E121" s="50" t="str">
        <f t="shared" si="36"/>
        <v>(5)</v>
      </c>
      <c r="F121" s="50" t="str">
        <f t="shared" si="36"/>
        <v>(6)</v>
      </c>
      <c r="G121" s="50" t="str">
        <f t="shared" si="36"/>
        <v>(7)</v>
      </c>
      <c r="H121" s="81"/>
      <c r="I121" s="112" t="s">
        <v>105</v>
      </c>
      <c r="J121" s="112"/>
      <c r="K121" s="51" t="s">
        <v>120</v>
      </c>
      <c r="L121" s="76" t="s">
        <v>121</v>
      </c>
      <c r="P121" s="107"/>
      <c r="Q121" s="107"/>
      <c r="R121" s="107"/>
      <c r="S121" s="107"/>
      <c r="T121" s="107"/>
    </row>
    <row r="122" spans="1:20">
      <c r="B122" s="51" t="s">
        <v>34</v>
      </c>
      <c r="C122" s="51" t="s">
        <v>96</v>
      </c>
      <c r="D122" s="51" t="s">
        <v>97</v>
      </c>
      <c r="E122" s="51" t="s">
        <v>98</v>
      </c>
      <c r="F122" s="51" t="s">
        <v>98</v>
      </c>
      <c r="G122" s="51" t="s">
        <v>99</v>
      </c>
      <c r="H122" s="82"/>
      <c r="I122" s="51" t="str">
        <f>TEXT(ABS(G121-1),"(##)")</f>
        <v>(8)</v>
      </c>
      <c r="J122" s="51" t="str">
        <f>TEXT(ABS(I122-1),"(##)")</f>
        <v>(9)</v>
      </c>
      <c r="K122" s="51" t="str">
        <f>TEXT(ABS(J122-1),"(##)")</f>
        <v>(10)</v>
      </c>
      <c r="L122" s="51" t="str">
        <f>TEXT(ABS(K122-1),"(##)")</f>
        <v>(11)</v>
      </c>
      <c r="P122" s="107"/>
      <c r="Q122" s="107"/>
      <c r="R122" s="107"/>
      <c r="S122" s="107"/>
      <c r="T122" s="107"/>
    </row>
    <row r="123" spans="1:20" ht="38.25">
      <c r="B123" s="52"/>
      <c r="C123" s="52"/>
      <c r="D123" s="52"/>
      <c r="E123" s="53" t="s">
        <v>100</v>
      </c>
      <c r="F123" s="53" t="s">
        <v>101</v>
      </c>
      <c r="G123" s="53" t="s">
        <v>102</v>
      </c>
      <c r="H123" s="83"/>
      <c r="I123" s="77" t="s">
        <v>122</v>
      </c>
      <c r="J123" s="77" t="s">
        <v>123</v>
      </c>
      <c r="K123" s="77" t="str">
        <f>"[(Ult)-"&amp;J122 &amp; "] / ["&amp;J122&amp;"-"&amp;I122&amp;"]"</f>
        <v>[(Ult)-(9)] / [(9)-(8)]</v>
      </c>
      <c r="L123" s="52" t="str">
        <f>G121&amp;" * "&amp;K122</f>
        <v>(7) * (10)</v>
      </c>
    </row>
    <row r="124" spans="1:20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1:20" ht="13.5" thickBot="1">
      <c r="B125" s="55">
        <v>1977</v>
      </c>
      <c r="C125" s="84">
        <f t="shared" ref="C125:G132" si="37">C105</f>
        <v>19</v>
      </c>
      <c r="D125" s="84">
        <f t="shared" si="37"/>
        <v>34</v>
      </c>
      <c r="E125" s="109">
        <f t="shared" ca="1" si="37"/>
        <v>167714.88212117003</v>
      </c>
      <c r="F125" s="109">
        <f t="shared" si="37"/>
        <v>193977.86423717003</v>
      </c>
      <c r="G125" s="109">
        <f t="shared" ca="1" si="37"/>
        <v>26262.982115999999</v>
      </c>
      <c r="H125" s="54"/>
      <c r="I125" s="194">
        <f t="shared" ref="I125:J132" si="38">VLOOKUP(C125,$C$61:$M$94,IF($I$121="Weibull",10, IF($I$121="Gompertz", 11)),FALSE)</f>
        <v>12.620041894396046</v>
      </c>
      <c r="J125" s="194">
        <f t="shared" si="38"/>
        <v>18.709282602820942</v>
      </c>
      <c r="K125" s="88">
        <f>IF((J125-I125)=0,0,(J$134-J125)/(J125-I125))</f>
        <v>0.2015929766507108</v>
      </c>
      <c r="L125" s="87">
        <f ca="1">K125*$G125</f>
        <v>5294.4327404888227</v>
      </c>
    </row>
    <row r="126" spans="1:20" ht="14.25" thickTop="1" thickBot="1">
      <c r="B126" s="55">
        <v>1978</v>
      </c>
      <c r="C126" s="84">
        <f t="shared" si="37"/>
        <v>18</v>
      </c>
      <c r="D126" s="84">
        <f t="shared" si="37"/>
        <v>33</v>
      </c>
      <c r="E126" s="109">
        <f t="shared" ca="1" si="37"/>
        <v>283304.87680390006</v>
      </c>
      <c r="F126" s="109">
        <f t="shared" si="37"/>
        <v>327594.01680390013</v>
      </c>
      <c r="G126" s="109">
        <f t="shared" ca="1" si="37"/>
        <v>44289.140000000072</v>
      </c>
      <c r="H126" s="54"/>
      <c r="I126" s="194">
        <f t="shared" si="38"/>
        <v>11.476191599400913</v>
      </c>
      <c r="J126" s="194">
        <f t="shared" si="38"/>
        <v>18.584439400894126</v>
      </c>
      <c r="K126" s="88">
        <f t="shared" ref="K126:K132" si="39">IF((J126-I126)=0,0,(J$134-J126)/(J126-I126))</f>
        <v>0.1902566426562646</v>
      </c>
      <c r="L126" s="87">
        <f t="shared" ref="L126:L132" ca="1" si="40">K126*$G126</f>
        <v>8426.303082533288</v>
      </c>
    </row>
    <row r="127" spans="1:20" ht="14.25" thickTop="1" thickBot="1">
      <c r="B127" s="55">
        <v>1979</v>
      </c>
      <c r="C127" s="84">
        <f t="shared" si="37"/>
        <v>17</v>
      </c>
      <c r="D127" s="84">
        <f t="shared" si="37"/>
        <v>32</v>
      </c>
      <c r="E127" s="109">
        <f t="shared" ca="1" si="37"/>
        <v>1648002.5525032098</v>
      </c>
      <c r="F127" s="109">
        <f t="shared" si="37"/>
        <v>2122344.1447074697</v>
      </c>
      <c r="G127" s="109">
        <f t="shared" ca="1" si="37"/>
        <v>474341.59220425994</v>
      </c>
      <c r="H127" s="54"/>
      <c r="I127" s="194">
        <f t="shared" si="38"/>
        <v>10.140189843308008</v>
      </c>
      <c r="J127" s="194">
        <f t="shared" si="38"/>
        <v>18.442915395567098</v>
      </c>
      <c r="K127" s="88">
        <f t="shared" si="39"/>
        <v>0.17993071766673308</v>
      </c>
      <c r="L127" s="87">
        <f t="shared" ca="1" si="40"/>
        <v>85348.623104493337</v>
      </c>
    </row>
    <row r="128" spans="1:20" ht="14.25" thickTop="1" thickBot="1">
      <c r="B128" s="55">
        <v>1980</v>
      </c>
      <c r="C128" s="84">
        <f t="shared" si="37"/>
        <v>16</v>
      </c>
      <c r="D128" s="84">
        <f t="shared" si="37"/>
        <v>31</v>
      </c>
      <c r="E128" s="109">
        <f t="shared" ca="1" si="37"/>
        <v>5034855.2233645599</v>
      </c>
      <c r="F128" s="109">
        <f t="shared" si="37"/>
        <v>5500332.4360821815</v>
      </c>
      <c r="G128" s="109">
        <f t="shared" ca="1" si="37"/>
        <v>465477.21271762159</v>
      </c>
      <c r="H128" s="54"/>
      <c r="I128" s="194">
        <f t="shared" si="38"/>
        <v>8.5954561836596071</v>
      </c>
      <c r="J128" s="194">
        <f t="shared" si="38"/>
        <v>18.281962261795304</v>
      </c>
      <c r="K128" s="88">
        <f t="shared" si="39"/>
        <v>0.17084266376656196</v>
      </c>
      <c r="L128" s="87">
        <f t="shared" ca="1" si="40"/>
        <v>79523.366943313056</v>
      </c>
    </row>
    <row r="129" spans="2:12" ht="14.25" thickTop="1" thickBot="1">
      <c r="B129" s="55">
        <v>1981</v>
      </c>
      <c r="C129" s="84">
        <f t="shared" si="37"/>
        <v>15</v>
      </c>
      <c r="D129" s="84">
        <f t="shared" si="37"/>
        <v>30</v>
      </c>
      <c r="E129" s="109">
        <f t="shared" ca="1" si="37"/>
        <v>3957023.2710878989</v>
      </c>
      <c r="F129" s="109">
        <f t="shared" si="37"/>
        <v>4239343.0477557387</v>
      </c>
      <c r="G129" s="109">
        <f t="shared" ca="1" si="37"/>
        <v>282319.77666783985</v>
      </c>
      <c r="H129" s="54"/>
      <c r="I129" s="194">
        <f t="shared" si="38"/>
        <v>6.840109013984736</v>
      </c>
      <c r="J129" s="194">
        <f t="shared" si="38"/>
        <v>18.098300579202231</v>
      </c>
      <c r="K129" s="88">
        <f t="shared" si="39"/>
        <v>0.16330599572074789</v>
      </c>
      <c r="L129" s="87">
        <f t="shared" ca="1" si="40"/>
        <v>46104.512240400756</v>
      </c>
    </row>
    <row r="130" spans="2:12" ht="14.25" thickTop="1" thickBot="1">
      <c r="B130" s="55">
        <v>1982</v>
      </c>
      <c r="C130" s="84">
        <f t="shared" si="37"/>
        <v>14</v>
      </c>
      <c r="D130" s="84">
        <f t="shared" si="37"/>
        <v>29</v>
      </c>
      <c r="E130" s="109">
        <f t="shared" ca="1" si="37"/>
        <v>11884039.255928008</v>
      </c>
      <c r="F130" s="109">
        <f t="shared" si="37"/>
        <v>12089246.558031339</v>
      </c>
      <c r="G130" s="109">
        <f t="shared" ca="1" si="37"/>
        <v>205207.30210333131</v>
      </c>
      <c r="H130" s="54"/>
      <c r="I130" s="194">
        <f t="shared" si="38"/>
        <v>4.9014513757507174</v>
      </c>
      <c r="J130" s="194">
        <f t="shared" si="38"/>
        <v>17.888005500989674</v>
      </c>
      <c r="K130" s="88">
        <f t="shared" si="39"/>
        <v>0.15776511937092672</v>
      </c>
      <c r="L130" s="87">
        <f t="shared" ca="1" si="40"/>
        <v>32374.554512117884</v>
      </c>
    </row>
    <row r="131" spans="2:12" ht="14.25" thickTop="1" thickBot="1">
      <c r="B131" s="55">
        <v>1983</v>
      </c>
      <c r="C131" s="84">
        <f t="shared" si="37"/>
        <v>13</v>
      </c>
      <c r="D131" s="84">
        <f t="shared" si="37"/>
        <v>28</v>
      </c>
      <c r="E131" s="109">
        <f t="shared" ca="1" si="37"/>
        <v>32726221.457758866</v>
      </c>
      <c r="F131" s="109">
        <f t="shared" si="37"/>
        <v>33381937.997316148</v>
      </c>
      <c r="G131" s="109">
        <f t="shared" ca="1" si="37"/>
        <v>655716.53955728188</v>
      </c>
      <c r="H131" s="54"/>
      <c r="I131" s="194">
        <f t="shared" si="38"/>
        <v>2.8563301847381144</v>
      </c>
      <c r="J131" s="194">
        <f t="shared" si="38"/>
        <v>17.646367034437112</v>
      </c>
      <c r="K131" s="88">
        <f t="shared" si="39"/>
        <v>0.15486531586190752</v>
      </c>
      <c r="L131" s="87">
        <f t="shared" ca="1" si="40"/>
        <v>101547.74901441543</v>
      </c>
    </row>
    <row r="132" spans="2:12" ht="14.25" thickTop="1" thickBot="1">
      <c r="B132" s="58">
        <v>1984</v>
      </c>
      <c r="C132" s="84">
        <f t="shared" si="37"/>
        <v>12</v>
      </c>
      <c r="D132" s="84">
        <f t="shared" si="37"/>
        <v>27</v>
      </c>
      <c r="E132" s="109">
        <f t="shared" ca="1" si="37"/>
        <v>15094624.591576425</v>
      </c>
      <c r="F132" s="109">
        <f t="shared" si="37"/>
        <v>15371995.755882228</v>
      </c>
      <c r="G132" s="109">
        <f t="shared" ca="1" si="37"/>
        <v>277371.16430580243</v>
      </c>
      <c r="H132" s="54"/>
      <c r="I132" s="194">
        <f t="shared" si="38"/>
        <v>0.85188409207500548</v>
      </c>
      <c r="J132" s="194">
        <f t="shared" si="38"/>
        <v>17.367720178321605</v>
      </c>
      <c r="K132" s="88">
        <f t="shared" si="39"/>
        <v>0.15555437648069151</v>
      </c>
      <c r="L132" s="87">
        <f t="shared" ca="1" si="40"/>
        <v>43146.298517312534</v>
      </c>
    </row>
    <row r="133" spans="2:12" ht="13.5" thickTop="1">
      <c r="B133" s="54"/>
      <c r="C133" s="56"/>
      <c r="D133" s="56"/>
      <c r="E133" s="110"/>
      <c r="F133" s="110"/>
      <c r="G133" s="110"/>
      <c r="H133" s="54"/>
      <c r="I133" s="79"/>
      <c r="J133" s="78"/>
      <c r="K133" s="80"/>
      <c r="L133" s="57"/>
    </row>
    <row r="134" spans="2:12">
      <c r="B134" s="54" t="s">
        <v>21</v>
      </c>
      <c r="C134" s="56"/>
      <c r="D134" s="56"/>
      <c r="E134" s="109">
        <f ca="1">E114</f>
        <v>70795786.111144036</v>
      </c>
      <c r="F134" s="109">
        <f>F114</f>
        <v>73226771.820816174</v>
      </c>
      <c r="G134" s="109">
        <f ca="1">G114</f>
        <v>2430985.7096721372</v>
      </c>
      <c r="H134" s="54"/>
      <c r="I134" s="79" t="s">
        <v>124</v>
      </c>
      <c r="J134" s="86">
        <f>IF($I$121="Weibull", $G$64-$G$65, IF($I$121="Gompertz", $G$76+$G$79))</f>
        <v>19.936830762774999</v>
      </c>
      <c r="K134" s="80"/>
      <c r="L134" s="111">
        <f ca="1">SUM(L125:L132)</f>
        <v>401765.84015507507</v>
      </c>
    </row>
  </sheetData>
  <conditionalFormatting sqref="D6:AH13 C4:C13 C2 AI6:AI7 AJ6 D4:AJ4">
    <cfRule type="cellIs" dxfId="3" priority="3" stopIfTrue="1" operator="equal">
      <formula>0</formula>
    </cfRule>
  </conditionalFormatting>
  <conditionalFormatting sqref="C35:AI35">
    <cfRule type="cellIs" dxfId="2" priority="1" operator="equal">
      <formula>$C$33</formula>
    </cfRule>
  </conditionalFormatting>
  <dataValidations count="2">
    <dataValidation type="list" allowBlank="1" showInputMessage="1" showErrorMessage="1" prompt="Select Distribution" sqref="I121">
      <formula1>$S$95:$S$96</formula1>
    </dataValidation>
    <dataValidation type="list" allowBlank="1" showInputMessage="1" showErrorMessage="1" prompt="Select Method" sqref="G59">
      <formula1>$Q$95:$Q$118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S28"/>
  <sheetViews>
    <sheetView workbookViewId="0"/>
  </sheetViews>
  <sheetFormatPr defaultRowHeight="12.75"/>
  <cols>
    <col min="1" max="1" width="13.42578125" bestFit="1" customWidth="1"/>
    <col min="2" max="2" width="11.140625" bestFit="1" customWidth="1"/>
    <col min="3" max="3" width="13.140625" customWidth="1"/>
    <col min="4" max="16" width="12.5703125" bestFit="1" customWidth="1"/>
    <col min="19" max="19" width="17.7109375" bestFit="1" customWidth="1"/>
    <col min="20" max="20" width="12.42578125" bestFit="1" customWidth="1"/>
  </cols>
  <sheetData>
    <row r="1" spans="1:16">
      <c r="A1" s="24" t="s">
        <v>212</v>
      </c>
    </row>
    <row r="2" spans="1:16" s="24" customFormat="1">
      <c r="B2" s="32" t="s">
        <v>51</v>
      </c>
      <c r="C2" s="24" t="s">
        <v>30</v>
      </c>
    </row>
    <row r="3" spans="1:16" s="24" customFormat="1">
      <c r="B3" s="25" t="s">
        <v>31</v>
      </c>
      <c r="C3" s="1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B4" s="25" t="s">
        <v>3</v>
      </c>
      <c r="C4" s="1">
        <v>17</v>
      </c>
      <c r="D4" s="1">
        <v>18</v>
      </c>
      <c r="E4" s="1">
        <v>19</v>
      </c>
      <c r="F4" s="1">
        <v>20</v>
      </c>
      <c r="G4" s="1">
        <v>21</v>
      </c>
      <c r="H4" s="1">
        <v>22</v>
      </c>
      <c r="I4" s="1">
        <v>23</v>
      </c>
      <c r="J4" s="1">
        <v>24</v>
      </c>
      <c r="K4" s="1">
        <v>25</v>
      </c>
      <c r="L4" s="1">
        <v>26</v>
      </c>
      <c r="M4" s="1">
        <v>27</v>
      </c>
      <c r="N4" s="1">
        <v>28</v>
      </c>
      <c r="O4" s="1">
        <v>29</v>
      </c>
      <c r="P4" s="1">
        <v>30</v>
      </c>
    </row>
    <row r="5" spans="1:16">
      <c r="B5" s="29">
        <v>1981</v>
      </c>
      <c r="C5" s="17"/>
      <c r="D5" s="17">
        <f>AVERAGE(E5:G5)</f>
        <v>21743.603525306204</v>
      </c>
      <c r="E5" s="17">
        <v>-15651.699999999837</v>
      </c>
      <c r="F5" s="17">
        <v>-2460.6300000000047</v>
      </c>
      <c r="G5" s="17">
        <v>83343.140575918456</v>
      </c>
      <c r="H5" s="17">
        <v>93788.420000000042</v>
      </c>
      <c r="I5" s="17">
        <v>45472</v>
      </c>
      <c r="J5" s="17">
        <v>8709.1800000000512</v>
      </c>
      <c r="K5" s="17">
        <v>60700</v>
      </c>
      <c r="L5" s="17">
        <v>6410.2793870893502</v>
      </c>
      <c r="M5" s="17">
        <v>65088.609999999986</v>
      </c>
      <c r="N5" s="17">
        <v>-49622.619999999995</v>
      </c>
      <c r="O5" s="17">
        <v>48427.550000000047</v>
      </c>
      <c r="P5" s="17">
        <v>39786.310000000056</v>
      </c>
    </row>
    <row r="6" spans="1:16">
      <c r="B6" s="29">
        <v>1982</v>
      </c>
      <c r="C6" s="17"/>
      <c r="D6" s="17">
        <v>117938.51000000001</v>
      </c>
      <c r="E6" s="17">
        <v>1557.5400000000373</v>
      </c>
      <c r="F6" s="17">
        <v>15306.790000000037</v>
      </c>
      <c r="G6" s="17">
        <v>104331.80000000005</v>
      </c>
      <c r="H6" s="17">
        <v>74355.388977651077</v>
      </c>
      <c r="I6" s="17">
        <v>-10976.290000000037</v>
      </c>
      <c r="J6" s="17">
        <v>28626.030000000028</v>
      </c>
      <c r="K6" s="17">
        <v>71961.109999999986</v>
      </c>
      <c r="L6" s="17">
        <v>31285.530000000028</v>
      </c>
      <c r="M6" s="17">
        <v>-50536.199999999953</v>
      </c>
      <c r="N6" s="17">
        <v>81063.649999999907</v>
      </c>
      <c r="O6" s="17">
        <v>5383.1699999999255</v>
      </c>
      <c r="P6" s="17" t="s">
        <v>33</v>
      </c>
    </row>
    <row r="7" spans="1:16">
      <c r="B7" s="29">
        <v>1983</v>
      </c>
      <c r="C7" s="17"/>
      <c r="D7" s="17">
        <v>20129.880000000005</v>
      </c>
      <c r="E7" s="17">
        <v>170689.27000000002</v>
      </c>
      <c r="F7" s="17">
        <v>8432.1599999999162</v>
      </c>
      <c r="G7" s="17">
        <v>-76263.830000000075</v>
      </c>
      <c r="H7" s="17">
        <v>-209243.84999999998</v>
      </c>
      <c r="I7" s="17">
        <v>35668</v>
      </c>
      <c r="J7" s="17">
        <v>-24994.459999999963</v>
      </c>
      <c r="K7" s="17">
        <v>754.71999999997206</v>
      </c>
      <c r="L7" s="17">
        <v>3839.4599999999627</v>
      </c>
      <c r="M7" s="17">
        <v>7831.7700000000186</v>
      </c>
      <c r="N7" s="17">
        <v>5569.9699999999721</v>
      </c>
      <c r="O7" s="17" t="s">
        <v>33</v>
      </c>
      <c r="P7" s="17" t="s">
        <v>33</v>
      </c>
    </row>
    <row r="8" spans="1:16">
      <c r="B8" s="29">
        <v>1984</v>
      </c>
      <c r="C8" s="17"/>
      <c r="D8" s="17">
        <v>31522.290000000037</v>
      </c>
      <c r="E8" s="17">
        <v>72804.839999999967</v>
      </c>
      <c r="F8" s="17">
        <v>-100137.70999999996</v>
      </c>
      <c r="G8" s="17">
        <v>-44760.059999999939</v>
      </c>
      <c r="H8" s="17">
        <v>14988</v>
      </c>
      <c r="I8" s="17">
        <v>38881.280000000028</v>
      </c>
      <c r="J8" s="17">
        <f>AVERAGE(G8:I8)</f>
        <v>3036.4066666666963</v>
      </c>
      <c r="K8" s="17">
        <v>83691.37</v>
      </c>
      <c r="L8" s="17">
        <v>-13152.030000000028</v>
      </c>
      <c r="M8" s="17">
        <v>90926.579999999958</v>
      </c>
      <c r="N8" s="17" t="s">
        <v>33</v>
      </c>
      <c r="O8" s="17" t="s">
        <v>33</v>
      </c>
      <c r="P8" s="17" t="s">
        <v>33</v>
      </c>
    </row>
    <row r="9" spans="1:16">
      <c r="B9" s="29">
        <v>1985</v>
      </c>
      <c r="C9" s="17"/>
      <c r="D9" s="17">
        <v>66014.359999999986</v>
      </c>
      <c r="E9" s="17">
        <v>69911.170000000042</v>
      </c>
      <c r="F9" s="17">
        <f>AVERAGE(F5:F7)</f>
        <v>7092.7733333333163</v>
      </c>
      <c r="G9" s="17">
        <v>-47173.310000000056</v>
      </c>
      <c r="H9" s="17">
        <f>AVERAGE(H11:H12)</f>
        <v>4593.7859722222202</v>
      </c>
      <c r="I9" s="17">
        <v>-17571.300000000047</v>
      </c>
      <c r="J9" s="17">
        <v>-7138.9899999999907</v>
      </c>
      <c r="K9" s="17">
        <v>1746</v>
      </c>
      <c r="L9" s="17">
        <v>-12302.290000000037</v>
      </c>
      <c r="M9" s="17" t="s">
        <v>33</v>
      </c>
      <c r="N9" s="17" t="s">
        <v>33</v>
      </c>
      <c r="O9" s="17" t="s">
        <v>33</v>
      </c>
      <c r="P9" s="17" t="s">
        <v>33</v>
      </c>
    </row>
    <row r="10" spans="1:16">
      <c r="B10" s="29">
        <v>1986</v>
      </c>
      <c r="C10" s="17"/>
      <c r="D10" s="17">
        <v>-1614.5599999999977</v>
      </c>
      <c r="E10" s="17">
        <v>-1462.5100000000093</v>
      </c>
      <c r="F10" s="17">
        <f>AVERAGE(17000,F6)</f>
        <v>16153.395000000019</v>
      </c>
      <c r="G10" s="17">
        <f>AVERAGE(G13,G11)</f>
        <v>1033.9599999999919</v>
      </c>
      <c r="H10" s="17">
        <f>AVERAGE(H11:H13)</f>
        <v>3933.0906481481506</v>
      </c>
      <c r="I10" s="17">
        <v>-6746.640000000014</v>
      </c>
      <c r="J10" s="17">
        <v>1596.8200000000099</v>
      </c>
      <c r="K10" s="17">
        <v>-8279.0499999999884</v>
      </c>
      <c r="L10" s="17" t="s">
        <v>33</v>
      </c>
      <c r="M10" s="17" t="s">
        <v>33</v>
      </c>
      <c r="N10" s="17" t="s">
        <v>33</v>
      </c>
      <c r="O10" s="17" t="s">
        <v>33</v>
      </c>
      <c r="P10" s="17" t="s">
        <v>33</v>
      </c>
    </row>
    <row r="11" spans="1:16">
      <c r="B11" s="29">
        <v>1987</v>
      </c>
      <c r="C11" s="17"/>
      <c r="D11" s="17">
        <v>8186.2099999999627</v>
      </c>
      <c r="E11" s="17">
        <f>AVERAGE(E9:E10)</f>
        <v>34224.330000000016</v>
      </c>
      <c r="F11" s="17">
        <f>AVERAGE(F12:F14,14)</f>
        <v>7301.443888888869</v>
      </c>
      <c r="G11" s="17">
        <v>4231</v>
      </c>
      <c r="H11" s="17">
        <f>AVERAGE(F11:G11)</f>
        <v>5766.2219444444345</v>
      </c>
      <c r="I11" s="17">
        <v>420.23999999999069</v>
      </c>
      <c r="J11" s="17">
        <f>AVERAGE(D11:E11,E9)</f>
        <v>37440.570000000007</v>
      </c>
      <c r="K11" s="17" t="s">
        <v>33</v>
      </c>
      <c r="L11" s="17" t="s">
        <v>33</v>
      </c>
      <c r="M11" s="17" t="s">
        <v>33</v>
      </c>
      <c r="N11" s="17" t="s">
        <v>33</v>
      </c>
      <c r="O11" s="17" t="s">
        <v>33</v>
      </c>
      <c r="P11" s="17" t="s">
        <v>33</v>
      </c>
    </row>
    <row r="12" spans="1:16">
      <c r="B12" s="29">
        <v>1988</v>
      </c>
      <c r="C12" s="17"/>
      <c r="D12" s="17">
        <f>AVERAGE(D13:D14,D11)</f>
        <v>30168.744999999995</v>
      </c>
      <c r="E12" s="17">
        <f>AVERAGE(E13:E14,)</f>
        <v>-8219.9466666666322</v>
      </c>
      <c r="F12" s="17">
        <f>AVERAGE(F13:F14,F7)</f>
        <v>9405.983888888848</v>
      </c>
      <c r="G12" s="17">
        <v>-2976</v>
      </c>
      <c r="H12" s="17">
        <f>AVERAGE(G11,H13)</f>
        <v>3421.3500000000058</v>
      </c>
      <c r="I12" s="17">
        <v>325.78000000002794</v>
      </c>
      <c r="J12" s="17" t="s">
        <v>33</v>
      </c>
      <c r="K12" s="17" t="s">
        <v>33</v>
      </c>
      <c r="L12" s="17" t="s">
        <v>33</v>
      </c>
      <c r="M12" s="17" t="s">
        <v>33</v>
      </c>
      <c r="N12" s="17" t="s">
        <v>33</v>
      </c>
      <c r="O12" s="17" t="s">
        <v>33</v>
      </c>
      <c r="P12" s="17" t="s">
        <v>33</v>
      </c>
    </row>
    <row r="13" spans="1:16">
      <c r="B13" s="29">
        <v>1989</v>
      </c>
      <c r="C13" s="17"/>
      <c r="D13" s="17">
        <v>13285.830000000016</v>
      </c>
      <c r="E13" s="17">
        <v>-6360.3699999999953</v>
      </c>
      <c r="F13" s="17">
        <f>AVERAGE(F6:F7)</f>
        <v>11869.474999999977</v>
      </c>
      <c r="G13" s="17">
        <v>-2163.0800000000163</v>
      </c>
      <c r="H13" s="17">
        <v>2611.7000000000116</v>
      </c>
      <c r="I13" s="17" t="s">
        <v>33</v>
      </c>
      <c r="J13" s="17" t="s">
        <v>33</v>
      </c>
      <c r="K13" s="17" t="s">
        <v>33</v>
      </c>
      <c r="L13" s="17" t="s">
        <v>33</v>
      </c>
      <c r="M13" s="17" t="s">
        <v>33</v>
      </c>
      <c r="N13" s="17" t="s">
        <v>33</v>
      </c>
      <c r="O13" s="17" t="s">
        <v>33</v>
      </c>
      <c r="P13" s="17" t="s">
        <v>33</v>
      </c>
    </row>
    <row r="14" spans="1:16">
      <c r="B14" s="29">
        <v>1990</v>
      </c>
      <c r="C14" s="17"/>
      <c r="D14" s="17">
        <f>AVERAGE(D6:D7)</f>
        <v>69034.195000000007</v>
      </c>
      <c r="E14" s="17">
        <v>-18299.469999999899</v>
      </c>
      <c r="F14" s="17">
        <f>AVERAGE(F6:F7,10)</f>
        <v>7916.3166666666511</v>
      </c>
      <c r="G14" s="17">
        <v>621.96999999997206</v>
      </c>
      <c r="H14" s="17" t="s">
        <v>33</v>
      </c>
      <c r="I14" s="17" t="s">
        <v>33</v>
      </c>
      <c r="J14" s="17" t="s">
        <v>33</v>
      </c>
      <c r="K14" s="17" t="s">
        <v>33</v>
      </c>
      <c r="L14" s="17" t="s">
        <v>33</v>
      </c>
      <c r="M14" s="17" t="s">
        <v>33</v>
      </c>
      <c r="N14" s="17" t="s">
        <v>33</v>
      </c>
      <c r="O14" s="17" t="s">
        <v>33</v>
      </c>
      <c r="P14" s="17" t="s">
        <v>33</v>
      </c>
    </row>
    <row r="15" spans="1:16">
      <c r="B15" s="29"/>
      <c r="C15" s="190"/>
      <c r="D15" s="22"/>
      <c r="E15" s="22"/>
      <c r="F15" s="22"/>
      <c r="G15" s="22"/>
      <c r="H15" s="190"/>
      <c r="I15" s="190"/>
      <c r="J15" s="190"/>
      <c r="K15" s="190"/>
      <c r="L15" s="190"/>
      <c r="M15" s="190"/>
      <c r="N15" s="190"/>
      <c r="O15" s="22"/>
      <c r="P15" s="22"/>
    </row>
    <row r="16" spans="1:16" s="24" customFormat="1">
      <c r="B16" s="33" t="s">
        <v>52</v>
      </c>
      <c r="C16" s="1" t="s">
        <v>46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9" s="24" customFormat="1">
      <c r="B17" s="25" t="str">
        <f>B3</f>
        <v>Underwriting</v>
      </c>
      <c r="C17" s="1" t="str">
        <f>C3</f>
        <v>Age in Years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9">
      <c r="B18" s="25" t="str">
        <f>B4</f>
        <v>Year</v>
      </c>
      <c r="C18" s="1">
        <f>C4</f>
        <v>17</v>
      </c>
      <c r="D18" s="1">
        <f t="shared" ref="D18:P18" si="0">D4</f>
        <v>18</v>
      </c>
      <c r="E18" s="1">
        <f t="shared" si="0"/>
        <v>19</v>
      </c>
      <c r="F18" s="1">
        <f t="shared" si="0"/>
        <v>20</v>
      </c>
      <c r="G18" s="1">
        <f t="shared" si="0"/>
        <v>21</v>
      </c>
      <c r="H18" s="1">
        <f t="shared" si="0"/>
        <v>22</v>
      </c>
      <c r="I18" s="1">
        <f t="shared" si="0"/>
        <v>23</v>
      </c>
      <c r="J18" s="1">
        <f t="shared" si="0"/>
        <v>24</v>
      </c>
      <c r="K18" s="1">
        <f t="shared" si="0"/>
        <v>25</v>
      </c>
      <c r="L18" s="1">
        <f t="shared" si="0"/>
        <v>26</v>
      </c>
      <c r="M18" s="1">
        <f t="shared" si="0"/>
        <v>27</v>
      </c>
      <c r="N18" s="1">
        <f t="shared" si="0"/>
        <v>28</v>
      </c>
      <c r="O18" s="1">
        <f t="shared" si="0"/>
        <v>29</v>
      </c>
      <c r="P18" s="1">
        <f t="shared" si="0"/>
        <v>30</v>
      </c>
    </row>
    <row r="19" spans="2:19">
      <c r="B19" s="26">
        <f t="shared" ref="B19:B28" si="1">B5</f>
        <v>1981</v>
      </c>
      <c r="C19" s="17">
        <v>90830.641973516991</v>
      </c>
      <c r="D19" s="17">
        <v>86588.582732483774</v>
      </c>
      <c r="E19" s="17">
        <v>81425.185171913356</v>
      </c>
      <c r="F19" s="17">
        <v>86716.002383544183</v>
      </c>
      <c r="G19" s="17">
        <v>79776.18465386513</v>
      </c>
      <c r="H19" s="17">
        <v>79200.627018271989</v>
      </c>
      <c r="I19" s="17">
        <v>72728.727615419193</v>
      </c>
      <c r="J19" s="17">
        <v>71800.1454598782</v>
      </c>
      <c r="K19" s="17">
        <v>66951.871824844886</v>
      </c>
      <c r="L19" s="17">
        <v>65311.610418671997</v>
      </c>
      <c r="M19" s="17">
        <v>58750.326919572588</v>
      </c>
      <c r="N19" s="17">
        <v>59012.681941444775</v>
      </c>
      <c r="O19" s="17">
        <v>60681.483059791237</v>
      </c>
      <c r="P19" s="17">
        <f>O19*(J19/F19)^0.2</f>
        <v>58433.432918546707</v>
      </c>
    </row>
    <row r="20" spans="2:19">
      <c r="B20" s="26">
        <f t="shared" si="1"/>
        <v>1982</v>
      </c>
      <c r="C20" s="17">
        <v>117743.4321649818</v>
      </c>
      <c r="D20" s="17">
        <v>117169.47277934004</v>
      </c>
      <c r="E20" s="17">
        <v>108526.37907212311</v>
      </c>
      <c r="F20" s="17">
        <v>113914.60316771535</v>
      </c>
      <c r="G20" s="17">
        <v>110578.90624967692</v>
      </c>
      <c r="H20" s="17">
        <v>102906.33516503731</v>
      </c>
      <c r="I20" s="17">
        <v>99854.197002548899</v>
      </c>
      <c r="J20" s="17">
        <v>101024.50086904872</v>
      </c>
      <c r="K20" s="17">
        <v>101633.82113503572</v>
      </c>
      <c r="L20" s="17">
        <v>90509.852203922739</v>
      </c>
      <c r="M20" s="17">
        <v>88877.825761408851</v>
      </c>
      <c r="N20" s="17">
        <v>88711.759168395351</v>
      </c>
      <c r="O20" s="17">
        <v>76137.028156165557</v>
      </c>
      <c r="P20" s="17" t="s">
        <v>33</v>
      </c>
    </row>
    <row r="21" spans="2:19">
      <c r="B21" s="26">
        <f t="shared" si="1"/>
        <v>1983</v>
      </c>
      <c r="C21" s="17">
        <v>102189.87990797986</v>
      </c>
      <c r="D21" s="17">
        <v>104336.14940306221</v>
      </c>
      <c r="E21" s="17">
        <v>122535.22328422168</v>
      </c>
      <c r="F21" s="17">
        <v>123434.26926887997</v>
      </c>
      <c r="G21" s="17">
        <v>115302.9375417586</v>
      </c>
      <c r="H21" s="17">
        <v>92993.132799326646</v>
      </c>
      <c r="I21" s="17">
        <v>91990.132799326602</v>
      </c>
      <c r="J21" s="17">
        <v>91131.239468732907</v>
      </c>
      <c r="K21" s="17">
        <v>90211.672041277096</v>
      </c>
      <c r="L21" s="17">
        <v>90621.039403406801</v>
      </c>
      <c r="M21" s="17">
        <v>89456.071159358704</v>
      </c>
      <c r="N21" s="17">
        <v>86049.947362273204</v>
      </c>
      <c r="O21" s="17" t="s">
        <v>33</v>
      </c>
      <c r="P21" s="17" t="s">
        <v>33</v>
      </c>
    </row>
    <row r="22" spans="2:19">
      <c r="B22" s="26">
        <f t="shared" si="1"/>
        <v>1984</v>
      </c>
      <c r="C22" s="17">
        <v>64705.201525945551</v>
      </c>
      <c r="D22" s="17">
        <v>68066.142050287439</v>
      </c>
      <c r="E22" s="17">
        <v>75828.672536626706</v>
      </c>
      <c r="F22" s="17">
        <v>65151.882000349171</v>
      </c>
      <c r="G22" s="17">
        <v>60379.516175214827</v>
      </c>
      <c r="H22" s="17">
        <v>61977.552884439829</v>
      </c>
      <c r="I22" s="17">
        <f>AVERAGE(I20:I21)</f>
        <v>95922.164900937758</v>
      </c>
      <c r="J22" s="17">
        <f>AVERAGE(J19:J21)</f>
        <v>87985.295265886598</v>
      </c>
      <c r="K22" s="17">
        <v>73314.960153289314</v>
      </c>
      <c r="L22" s="17">
        <v>71912.676543679729</v>
      </c>
      <c r="M22" s="17">
        <f>L22*(K22/I22)^(1/3)</f>
        <v>65750.137218798569</v>
      </c>
      <c r="N22" s="17" t="s">
        <v>33</v>
      </c>
      <c r="O22" s="17" t="s">
        <v>33</v>
      </c>
      <c r="P22" s="17" t="s">
        <v>33</v>
      </c>
    </row>
    <row r="23" spans="2:19">
      <c r="B23" s="26">
        <f t="shared" si="1"/>
        <v>1985</v>
      </c>
      <c r="C23" s="17">
        <v>83228.295795346712</v>
      </c>
      <c r="D23" s="17">
        <v>90266.817987500079</v>
      </c>
      <c r="E23" s="17">
        <v>97720.822260576533</v>
      </c>
      <c r="F23" s="17">
        <v>86165.669162460457</v>
      </c>
      <c r="G23" s="17">
        <v>81136.000022104767</v>
      </c>
      <c r="H23" s="17">
        <f>AVERAGE(H25,H27)</f>
        <v>119876.43250635147</v>
      </c>
      <c r="I23" s="17">
        <v>83790</v>
      </c>
      <c r="J23" s="17">
        <f>AVERAGE(F23:H23)</f>
        <v>95726.033896972236</v>
      </c>
      <c r="K23" s="17">
        <v>78408.694700468506</v>
      </c>
      <c r="L23" s="17">
        <v>77097.011285234199</v>
      </c>
      <c r="M23" s="17" t="s">
        <v>33</v>
      </c>
      <c r="N23" s="17" t="s">
        <v>33</v>
      </c>
      <c r="O23" s="17" t="s">
        <v>33</v>
      </c>
      <c r="P23" s="17" t="s">
        <v>33</v>
      </c>
    </row>
    <row r="24" spans="2:19">
      <c r="B24" s="26">
        <f t="shared" si="1"/>
        <v>1986</v>
      </c>
      <c r="C24" s="17">
        <v>176843.71500948412</v>
      </c>
      <c r="D24" s="17">
        <v>188488.80414368509</v>
      </c>
      <c r="E24" s="17">
        <v>176024.85402518633</v>
      </c>
      <c r="F24" s="17">
        <v>153565.38061960976</v>
      </c>
      <c r="G24" s="17">
        <f>AVERAGE(C24:E24)</f>
        <v>180452.45772611853</v>
      </c>
      <c r="H24" s="17">
        <f>AVERAGE(C24:F24)</f>
        <v>173730.68844949134</v>
      </c>
      <c r="I24" s="17">
        <f>AVERAGE(C24:G24)</f>
        <v>175075.04230481677</v>
      </c>
      <c r="J24" s="17">
        <f>AVERAGE(C24:H24)</f>
        <v>174850.9833289292</v>
      </c>
      <c r="K24" s="17">
        <v>77635.762600140311</v>
      </c>
      <c r="L24" s="17" t="s">
        <v>33</v>
      </c>
      <c r="M24" s="17" t="s">
        <v>33</v>
      </c>
      <c r="N24" s="17" t="s">
        <v>33</v>
      </c>
      <c r="O24" s="17" t="s">
        <v>33</v>
      </c>
      <c r="P24" s="17" t="s">
        <v>33</v>
      </c>
      <c r="R24" s="188"/>
    </row>
    <row r="25" spans="2:19">
      <c r="B25" s="26">
        <f t="shared" si="1"/>
        <v>1987</v>
      </c>
      <c r="C25" s="17">
        <v>161477.2328729408</v>
      </c>
      <c r="D25" s="17">
        <v>123313.80132987282</v>
      </c>
      <c r="E25" s="17">
        <f>AVERAGE(E24,E27:E28)</f>
        <v>143726.05833932789</v>
      </c>
      <c r="F25" s="17">
        <f>AVERAGE(F26:F28)</f>
        <v>129556.70028467166</v>
      </c>
      <c r="G25" s="17">
        <f>AVERAGE(C25:D25)</f>
        <v>142395.51710140682</v>
      </c>
      <c r="H25" s="17">
        <f>AVERAGE(C25:G25)</f>
        <v>140093.86198564401</v>
      </c>
      <c r="I25" s="17">
        <f>AVERAGE(C25:F25)</f>
        <v>139518.44820670329</v>
      </c>
      <c r="J25" s="17">
        <f>AVERAGE(J20:J24,C25:I25)</f>
        <v>127566.63941251142</v>
      </c>
      <c r="K25" s="17" t="s">
        <v>33</v>
      </c>
      <c r="L25" s="17" t="s">
        <v>33</v>
      </c>
      <c r="M25" s="17" t="s">
        <v>33</v>
      </c>
      <c r="N25" s="17" t="s">
        <v>33</v>
      </c>
      <c r="O25" s="17" t="s">
        <v>33</v>
      </c>
      <c r="P25" s="17" t="s">
        <v>33</v>
      </c>
    </row>
    <row r="26" spans="2:19">
      <c r="B26" s="26">
        <f t="shared" si="1"/>
        <v>1988</v>
      </c>
      <c r="C26" s="17">
        <v>133966.20936612907</v>
      </c>
      <c r="D26" s="17">
        <v>134715.06483256319</v>
      </c>
      <c r="E26" s="17">
        <f>AVERAGE(E23:E24)</f>
        <v>136872.83814288143</v>
      </c>
      <c r="F26" s="17">
        <f>AVERAGE(F24,F21)</f>
        <v>138499.82494424487</v>
      </c>
      <c r="G26" s="17">
        <f>AVERAGE(C26:D26)</f>
        <v>134340.63709934615</v>
      </c>
      <c r="H26" s="17">
        <f>AVERAGE(H23:H24)</f>
        <v>146803.56047792139</v>
      </c>
      <c r="I26" s="17">
        <f>AVERAGE(C26:G26)</f>
        <v>135678.91487703295</v>
      </c>
      <c r="J26" s="17" t="s">
        <v>33</v>
      </c>
      <c r="K26" s="17" t="s">
        <v>33</v>
      </c>
      <c r="L26" s="17" t="s">
        <v>33</v>
      </c>
      <c r="M26" s="17" t="s">
        <v>33</v>
      </c>
      <c r="N26" s="17" t="s">
        <v>33</v>
      </c>
      <c r="O26" s="17" t="s">
        <v>33</v>
      </c>
      <c r="P26" s="17" t="s">
        <v>33</v>
      </c>
    </row>
    <row r="27" spans="2:19">
      <c r="B27" s="26">
        <f t="shared" si="1"/>
        <v>1989</v>
      </c>
      <c r="C27" s="17">
        <v>75041.236836659024</v>
      </c>
      <c r="D27" s="17">
        <v>91711.022924877732</v>
      </c>
      <c r="E27" s="17">
        <f>AVERAGE(E28,E23:E24)</f>
        <v>132224.74931964005</v>
      </c>
      <c r="F27" s="17">
        <f>AVERAGE(F24,F20:F21)</f>
        <v>130304.75101873501</v>
      </c>
      <c r="G27" s="17">
        <f>AVERAGE(G20:G21)</f>
        <v>112940.92189571777</v>
      </c>
      <c r="H27" s="17">
        <f>AVERAGE(C27:E27)</f>
        <v>99659.003027058949</v>
      </c>
      <c r="I27" s="17" t="s">
        <v>33</v>
      </c>
      <c r="J27" s="17" t="s">
        <v>33</v>
      </c>
      <c r="K27" s="17" t="s">
        <v>33</v>
      </c>
      <c r="L27" s="17" t="s">
        <v>33</v>
      </c>
      <c r="M27" s="17" t="s">
        <v>33</v>
      </c>
      <c r="N27" s="17" t="s">
        <v>33</v>
      </c>
      <c r="O27" s="17" t="s">
        <v>33</v>
      </c>
      <c r="P27" s="17" t="s">
        <v>33</v>
      </c>
      <c r="R27" s="188"/>
    </row>
    <row r="28" spans="2:19">
      <c r="B28" s="26">
        <f t="shared" si="1"/>
        <v>1990</v>
      </c>
      <c r="C28" s="17">
        <v>118375.09212565998</v>
      </c>
      <c r="D28" s="17">
        <f>AVERAGE(D26:D27)</f>
        <v>113213.04387872046</v>
      </c>
      <c r="E28" s="17">
        <v>122928.57167315726</v>
      </c>
      <c r="F28" s="17">
        <f>AVERAGE(F23:F24)</f>
        <v>119865.52489103511</v>
      </c>
      <c r="G28" s="17">
        <f>AVERAGE(G24,G20:G21)</f>
        <v>135444.76717251801</v>
      </c>
      <c r="H28" s="17" t="s">
        <v>33</v>
      </c>
      <c r="I28" s="17" t="s">
        <v>33</v>
      </c>
      <c r="J28" s="17" t="s">
        <v>33</v>
      </c>
      <c r="K28" s="17" t="s">
        <v>33</v>
      </c>
      <c r="L28" s="17" t="s">
        <v>33</v>
      </c>
      <c r="M28" s="17" t="s">
        <v>33</v>
      </c>
      <c r="N28" s="17" t="s">
        <v>33</v>
      </c>
      <c r="O28" s="17" t="s">
        <v>33</v>
      </c>
      <c r="P28" s="17" t="s">
        <v>33</v>
      </c>
      <c r="S28" s="18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92"/>
  <sheetViews>
    <sheetView topLeftCell="L23" workbookViewId="0">
      <selection activeCell="E87" sqref="E87"/>
    </sheetView>
  </sheetViews>
  <sheetFormatPr defaultRowHeight="12.75"/>
  <cols>
    <col min="1" max="1" width="13.42578125" bestFit="1" customWidth="1"/>
    <col min="2" max="2" width="11.140625" bestFit="1" customWidth="1"/>
    <col min="3" max="3" width="13.140625" customWidth="1"/>
    <col min="4" max="16" width="12.5703125" bestFit="1" customWidth="1"/>
    <col min="19" max="19" width="17.7109375" bestFit="1" customWidth="1"/>
    <col min="20" max="20" width="12.42578125" bestFit="1" customWidth="1"/>
  </cols>
  <sheetData>
    <row r="1" spans="1:16">
      <c r="A1" s="24" t="s">
        <v>212</v>
      </c>
    </row>
    <row r="2" spans="1:16" s="24" customFormat="1">
      <c r="B2" s="32" t="s">
        <v>51</v>
      </c>
      <c r="C2" s="24" t="s">
        <v>30</v>
      </c>
    </row>
    <row r="3" spans="1:16" s="24" customFormat="1">
      <c r="B3" s="25" t="s">
        <v>31</v>
      </c>
      <c r="C3" s="1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B4" s="25" t="s">
        <v>3</v>
      </c>
      <c r="C4" s="1">
        <v>17</v>
      </c>
      <c r="D4" s="1">
        <v>18</v>
      </c>
      <c r="E4" s="1">
        <v>19</v>
      </c>
      <c r="F4" s="1">
        <v>20</v>
      </c>
      <c r="G4" s="1">
        <v>21</v>
      </c>
      <c r="H4" s="1">
        <v>22</v>
      </c>
      <c r="I4" s="1">
        <v>23</v>
      </c>
      <c r="J4" s="1">
        <v>24</v>
      </c>
      <c r="K4" s="1">
        <v>25</v>
      </c>
      <c r="L4" s="1">
        <v>26</v>
      </c>
      <c r="M4" s="1">
        <v>27</v>
      </c>
      <c r="N4" s="1">
        <v>28</v>
      </c>
      <c r="O4" s="1">
        <v>29</v>
      </c>
      <c r="P4" s="1">
        <v>30</v>
      </c>
    </row>
    <row r="5" spans="1:16">
      <c r="B5" s="29">
        <v>1981</v>
      </c>
      <c r="C5" s="17"/>
      <c r="D5" s="17">
        <f>AVERAGE(E5:G5)</f>
        <v>21743.603525306204</v>
      </c>
      <c r="E5" s="17">
        <v>-15651.699999999837</v>
      </c>
      <c r="F5" s="17">
        <v>-2460.6300000000047</v>
      </c>
      <c r="G5" s="17">
        <v>83343.140575918456</v>
      </c>
      <c r="H5" s="17">
        <v>93788.420000000042</v>
      </c>
      <c r="I5" s="17">
        <v>45472</v>
      </c>
      <c r="J5" s="17">
        <v>8709.1800000000512</v>
      </c>
      <c r="K5" s="17">
        <v>60700</v>
      </c>
      <c r="L5" s="17">
        <v>6410.2793870893502</v>
      </c>
      <c r="M5" s="17">
        <v>65088.609999999986</v>
      </c>
      <c r="N5" s="17">
        <v>-49622.619999999995</v>
      </c>
      <c r="O5" s="17">
        <v>48427.550000000047</v>
      </c>
      <c r="P5" s="17">
        <v>39786.310000000056</v>
      </c>
    </row>
    <row r="6" spans="1:16">
      <c r="B6" s="29">
        <v>1982</v>
      </c>
      <c r="C6" s="17"/>
      <c r="D6" s="17">
        <v>117938.51000000001</v>
      </c>
      <c r="E6" s="17">
        <v>1557.5400000000373</v>
      </c>
      <c r="F6" s="17">
        <v>15306.790000000037</v>
      </c>
      <c r="G6" s="17">
        <v>104331.80000000005</v>
      </c>
      <c r="H6" s="17">
        <v>74355.388977651077</v>
      </c>
      <c r="I6" s="17">
        <v>-10976.290000000037</v>
      </c>
      <c r="J6" s="17">
        <v>28626.030000000028</v>
      </c>
      <c r="K6" s="17">
        <v>71961.109999999986</v>
      </c>
      <c r="L6" s="17">
        <v>31285.530000000028</v>
      </c>
      <c r="M6" s="17">
        <v>-50536.199999999953</v>
      </c>
      <c r="N6" s="17">
        <v>81063.649999999907</v>
      </c>
      <c r="O6" s="17">
        <v>5383.1699999999255</v>
      </c>
      <c r="P6" s="17" t="s">
        <v>33</v>
      </c>
    </row>
    <row r="7" spans="1:16">
      <c r="B7" s="29">
        <v>1983</v>
      </c>
      <c r="C7" s="17"/>
      <c r="D7" s="17">
        <v>20129.880000000005</v>
      </c>
      <c r="E7" s="17">
        <v>170689.27000000002</v>
      </c>
      <c r="F7" s="17">
        <v>8432.1599999999162</v>
      </c>
      <c r="G7" s="17">
        <v>-76263.830000000075</v>
      </c>
      <c r="H7" s="17">
        <v>-209243.84999999998</v>
      </c>
      <c r="I7" s="17">
        <v>35668</v>
      </c>
      <c r="J7" s="17">
        <v>-24994.459999999963</v>
      </c>
      <c r="K7" s="17">
        <v>754.71999999997206</v>
      </c>
      <c r="L7" s="17">
        <v>3839.4599999999627</v>
      </c>
      <c r="M7" s="17">
        <v>7831.7700000000186</v>
      </c>
      <c r="N7" s="17">
        <v>5569.9699999999721</v>
      </c>
      <c r="O7" s="17" t="s">
        <v>33</v>
      </c>
      <c r="P7" s="17" t="s">
        <v>33</v>
      </c>
    </row>
    <row r="8" spans="1:16">
      <c r="B8" s="29">
        <v>1984</v>
      </c>
      <c r="C8" s="17"/>
      <c r="D8" s="17">
        <v>31522.290000000037</v>
      </c>
      <c r="E8" s="17">
        <v>72804.839999999967</v>
      </c>
      <c r="F8" s="17">
        <v>-100137.70999999996</v>
      </c>
      <c r="G8" s="17">
        <v>-44760.059999999939</v>
      </c>
      <c r="H8" s="17">
        <v>14988</v>
      </c>
      <c r="I8" s="17">
        <v>38881.280000000028</v>
      </c>
      <c r="J8" s="17">
        <f>AVERAGE(G8:I8)</f>
        <v>3036.4066666666963</v>
      </c>
      <c r="K8" s="17">
        <v>83691.37</v>
      </c>
      <c r="L8" s="17">
        <v>-13152.030000000028</v>
      </c>
      <c r="M8" s="17">
        <v>90926.579999999958</v>
      </c>
      <c r="N8" s="17" t="s">
        <v>33</v>
      </c>
      <c r="O8" s="17" t="s">
        <v>33</v>
      </c>
      <c r="P8" s="17" t="s">
        <v>33</v>
      </c>
    </row>
    <row r="9" spans="1:16">
      <c r="B9" s="29">
        <v>1985</v>
      </c>
      <c r="C9" s="17"/>
      <c r="D9" s="17">
        <v>66014.359999999986</v>
      </c>
      <c r="E9" s="17">
        <v>69911.170000000042</v>
      </c>
      <c r="F9" s="17">
        <f>AVERAGE(F5:F7)</f>
        <v>7092.7733333333163</v>
      </c>
      <c r="G9" s="17">
        <v>-47173.310000000056</v>
      </c>
      <c r="H9" s="17">
        <f>AVERAGE(H11:H12)</f>
        <v>4593.7859722222202</v>
      </c>
      <c r="I9" s="17">
        <v>-17571.300000000047</v>
      </c>
      <c r="J9" s="17">
        <v>-7138.9899999999907</v>
      </c>
      <c r="K9" s="17">
        <v>1746</v>
      </c>
      <c r="L9" s="17">
        <v>-12302.290000000037</v>
      </c>
      <c r="M9" s="17" t="s">
        <v>33</v>
      </c>
      <c r="N9" s="17" t="s">
        <v>33</v>
      </c>
      <c r="O9" s="17" t="s">
        <v>33</v>
      </c>
      <c r="P9" s="17" t="s">
        <v>33</v>
      </c>
    </row>
    <row r="10" spans="1:16">
      <c r="B10" s="29">
        <v>1986</v>
      </c>
      <c r="C10" s="17"/>
      <c r="D10" s="17">
        <v>-1614.5599999999977</v>
      </c>
      <c r="E10" s="17">
        <v>-1462.5100000000093</v>
      </c>
      <c r="F10" s="17">
        <f>AVERAGE(17000,F6)</f>
        <v>16153.395000000019</v>
      </c>
      <c r="G10" s="17">
        <f>AVERAGE(G13,G11)</f>
        <v>1033.9599999999919</v>
      </c>
      <c r="H10" s="17">
        <f>AVERAGE(H11:H13)</f>
        <v>3933.0906481481506</v>
      </c>
      <c r="I10" s="17">
        <v>-6746.640000000014</v>
      </c>
      <c r="J10" s="17">
        <v>1596.8200000000099</v>
      </c>
      <c r="K10" s="17">
        <v>-8279.0499999999884</v>
      </c>
      <c r="L10" s="17" t="s">
        <v>33</v>
      </c>
      <c r="M10" s="17" t="s">
        <v>33</v>
      </c>
      <c r="N10" s="17" t="s">
        <v>33</v>
      </c>
      <c r="O10" s="17" t="s">
        <v>33</v>
      </c>
      <c r="P10" s="17" t="s">
        <v>33</v>
      </c>
    </row>
    <row r="11" spans="1:16">
      <c r="B11" s="29">
        <v>1987</v>
      </c>
      <c r="C11" s="17"/>
      <c r="D11" s="17">
        <v>8186.2099999999627</v>
      </c>
      <c r="E11" s="17">
        <f>AVERAGE(E9:E10)</f>
        <v>34224.330000000016</v>
      </c>
      <c r="F11" s="17">
        <f>AVERAGE(F12:F14,14)</f>
        <v>7301.443888888869</v>
      </c>
      <c r="G11" s="17">
        <v>4231</v>
      </c>
      <c r="H11" s="17">
        <f>AVERAGE(F11:G11)</f>
        <v>5766.2219444444345</v>
      </c>
      <c r="I11" s="17">
        <v>420.23999999999069</v>
      </c>
      <c r="J11" s="17">
        <f>AVERAGE(D11:E11,E9)</f>
        <v>37440.570000000007</v>
      </c>
      <c r="K11" s="17" t="s">
        <v>33</v>
      </c>
      <c r="L11" s="17" t="s">
        <v>33</v>
      </c>
      <c r="M11" s="17" t="s">
        <v>33</v>
      </c>
      <c r="N11" s="17" t="s">
        <v>33</v>
      </c>
      <c r="O11" s="17" t="s">
        <v>33</v>
      </c>
      <c r="P11" s="17" t="s">
        <v>33</v>
      </c>
    </row>
    <row r="12" spans="1:16">
      <c r="B12" s="29">
        <v>1988</v>
      </c>
      <c r="C12" s="17"/>
      <c r="D12" s="17">
        <f>AVERAGE(D13:D14,D11)</f>
        <v>30168.744999999995</v>
      </c>
      <c r="E12" s="17">
        <f>AVERAGE(E13:E14,)</f>
        <v>-8219.9466666666322</v>
      </c>
      <c r="F12" s="17">
        <f>AVERAGE(F13:F14,F7)</f>
        <v>9405.983888888848</v>
      </c>
      <c r="G12" s="17">
        <v>-2976</v>
      </c>
      <c r="H12" s="17">
        <f>AVERAGE(G11,H13)</f>
        <v>3421.3500000000058</v>
      </c>
      <c r="I12" s="17">
        <v>325.78000000002794</v>
      </c>
      <c r="J12" s="17" t="s">
        <v>33</v>
      </c>
      <c r="K12" s="17" t="s">
        <v>33</v>
      </c>
      <c r="L12" s="17" t="s">
        <v>33</v>
      </c>
      <c r="M12" s="17" t="s">
        <v>33</v>
      </c>
      <c r="N12" s="17" t="s">
        <v>33</v>
      </c>
      <c r="O12" s="17" t="s">
        <v>33</v>
      </c>
      <c r="P12" s="17" t="s">
        <v>33</v>
      </c>
    </row>
    <row r="13" spans="1:16">
      <c r="B13" s="29">
        <v>1989</v>
      </c>
      <c r="C13" s="17"/>
      <c r="D13" s="17">
        <v>13285.830000000016</v>
      </c>
      <c r="E13" s="17">
        <v>-6360.3699999999953</v>
      </c>
      <c r="F13" s="17">
        <f>AVERAGE(F6:F7)</f>
        <v>11869.474999999977</v>
      </c>
      <c r="G13" s="17">
        <v>-2163.0800000000163</v>
      </c>
      <c r="H13" s="17">
        <v>2611.7000000000116</v>
      </c>
      <c r="I13" s="17" t="s">
        <v>33</v>
      </c>
      <c r="J13" s="17" t="s">
        <v>33</v>
      </c>
      <c r="K13" s="17" t="s">
        <v>33</v>
      </c>
      <c r="L13" s="17" t="s">
        <v>33</v>
      </c>
      <c r="M13" s="17" t="s">
        <v>33</v>
      </c>
      <c r="N13" s="17" t="s">
        <v>33</v>
      </c>
      <c r="O13" s="17" t="s">
        <v>33</v>
      </c>
      <c r="P13" s="17" t="s">
        <v>33</v>
      </c>
    </row>
    <row r="14" spans="1:16">
      <c r="B14" s="29">
        <v>1990</v>
      </c>
      <c r="C14" s="17"/>
      <c r="D14" s="17">
        <f>AVERAGE(D6:D7)</f>
        <v>69034.195000000007</v>
      </c>
      <c r="E14" s="17">
        <v>-18299.469999999899</v>
      </c>
      <c r="F14" s="17">
        <f>AVERAGE(F6:F7,10)</f>
        <v>7916.3166666666511</v>
      </c>
      <c r="G14" s="17">
        <v>621.96999999997206</v>
      </c>
      <c r="H14" s="17" t="s">
        <v>33</v>
      </c>
      <c r="I14" s="17" t="s">
        <v>33</v>
      </c>
      <c r="J14" s="17" t="s">
        <v>33</v>
      </c>
      <c r="K14" s="17" t="s">
        <v>33</v>
      </c>
      <c r="L14" s="17" t="s">
        <v>33</v>
      </c>
      <c r="M14" s="17" t="s">
        <v>33</v>
      </c>
      <c r="N14" s="17" t="s">
        <v>33</v>
      </c>
      <c r="O14" s="17" t="s">
        <v>33</v>
      </c>
      <c r="P14" s="17" t="s">
        <v>33</v>
      </c>
    </row>
    <row r="15" spans="1:16">
      <c r="B15" s="29"/>
      <c r="C15" s="190"/>
      <c r="D15" s="22"/>
      <c r="E15" s="22"/>
      <c r="F15" s="22"/>
      <c r="G15" s="22"/>
      <c r="H15" s="190"/>
      <c r="I15" s="190"/>
      <c r="J15" s="190"/>
      <c r="K15" s="190"/>
      <c r="L15" s="190"/>
      <c r="M15" s="190"/>
      <c r="N15" s="190"/>
      <c r="O15" s="22"/>
      <c r="P15" s="22"/>
    </row>
    <row r="16" spans="1:16" s="24" customFormat="1">
      <c r="B16" s="33" t="s">
        <v>52</v>
      </c>
      <c r="C16" s="1" t="s">
        <v>46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9" s="24" customFormat="1">
      <c r="B17" s="25" t="str">
        <f>B3</f>
        <v>Underwriting</v>
      </c>
      <c r="C17" s="1" t="str">
        <f>C3</f>
        <v>Age in Years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9">
      <c r="B18" s="25" t="str">
        <f>B4</f>
        <v>Year</v>
      </c>
      <c r="C18" s="1">
        <f>C4</f>
        <v>17</v>
      </c>
      <c r="D18" s="1">
        <f t="shared" ref="D18:P18" si="0">D4</f>
        <v>18</v>
      </c>
      <c r="E18" s="1">
        <f t="shared" si="0"/>
        <v>19</v>
      </c>
      <c r="F18" s="1">
        <f t="shared" si="0"/>
        <v>20</v>
      </c>
      <c r="G18" s="1">
        <f t="shared" si="0"/>
        <v>21</v>
      </c>
      <c r="H18" s="1">
        <f t="shared" si="0"/>
        <v>22</v>
      </c>
      <c r="I18" s="1">
        <f t="shared" si="0"/>
        <v>23</v>
      </c>
      <c r="J18" s="1">
        <f t="shared" si="0"/>
        <v>24</v>
      </c>
      <c r="K18" s="1">
        <f t="shared" si="0"/>
        <v>25</v>
      </c>
      <c r="L18" s="1">
        <f t="shared" si="0"/>
        <v>26</v>
      </c>
      <c r="M18" s="1">
        <f t="shared" si="0"/>
        <v>27</v>
      </c>
      <c r="N18" s="1">
        <f t="shared" si="0"/>
        <v>28</v>
      </c>
      <c r="O18" s="1">
        <f t="shared" si="0"/>
        <v>29</v>
      </c>
      <c r="P18" s="1">
        <f t="shared" si="0"/>
        <v>30</v>
      </c>
    </row>
    <row r="19" spans="1:19">
      <c r="B19" s="26">
        <f t="shared" ref="B19:B28" si="1">B5</f>
        <v>1981</v>
      </c>
      <c r="C19" s="17">
        <v>90830.641973516991</v>
      </c>
      <c r="D19" s="17">
        <v>86588.582732483774</v>
      </c>
      <c r="E19" s="17">
        <v>81425.185171913356</v>
      </c>
      <c r="F19" s="17">
        <v>86716.002383544183</v>
      </c>
      <c r="G19" s="17">
        <v>79776.18465386513</v>
      </c>
      <c r="H19" s="17">
        <v>79200.627018271989</v>
      </c>
      <c r="I19" s="17">
        <v>72728.727615419193</v>
      </c>
      <c r="J19" s="17">
        <v>71800.1454598782</v>
      </c>
      <c r="K19" s="17">
        <v>66951.871824844886</v>
      </c>
      <c r="L19" s="17">
        <v>65311.610418671997</v>
      </c>
      <c r="M19" s="17">
        <v>58750.326919572588</v>
      </c>
      <c r="N19" s="17">
        <v>59012.681941444775</v>
      </c>
      <c r="O19" s="17">
        <v>60681.483059791237</v>
      </c>
      <c r="P19" s="17">
        <f>O19*(J19/F19)^0.2</f>
        <v>58433.432918546707</v>
      </c>
    </row>
    <row r="20" spans="1:19">
      <c r="B20" s="26">
        <f t="shared" si="1"/>
        <v>1982</v>
      </c>
      <c r="C20" s="17">
        <v>117743.4321649818</v>
      </c>
      <c r="D20" s="17">
        <v>117169.47277934004</v>
      </c>
      <c r="E20" s="17">
        <v>108526.37907212311</v>
      </c>
      <c r="F20" s="17">
        <v>113914.60316771535</v>
      </c>
      <c r="G20" s="17">
        <v>110578.90624967692</v>
      </c>
      <c r="H20" s="17">
        <v>102906.33516503731</v>
      </c>
      <c r="I20" s="17">
        <v>99854.197002548899</v>
      </c>
      <c r="J20" s="17">
        <v>101024.50086904872</v>
      </c>
      <c r="K20" s="17">
        <v>101633.82113503572</v>
      </c>
      <c r="L20" s="17">
        <v>90509.852203922739</v>
      </c>
      <c r="M20" s="17">
        <v>88877.825761408851</v>
      </c>
      <c r="N20" s="17">
        <v>88711.759168395351</v>
      </c>
      <c r="O20" s="17">
        <v>76137.028156165557</v>
      </c>
      <c r="P20" s="17" t="s">
        <v>33</v>
      </c>
    </row>
    <row r="21" spans="1:19">
      <c r="B21" s="26">
        <f t="shared" si="1"/>
        <v>1983</v>
      </c>
      <c r="C21" s="17">
        <v>102189.87990797986</v>
      </c>
      <c r="D21" s="17">
        <v>104336.14940306221</v>
      </c>
      <c r="E21" s="17">
        <v>122535.22328422168</v>
      </c>
      <c r="F21" s="17">
        <v>123434.26926887997</v>
      </c>
      <c r="G21" s="17">
        <v>115302.9375417586</v>
      </c>
      <c r="H21" s="17">
        <v>92993.132799326646</v>
      </c>
      <c r="I21" s="17">
        <v>91990.132799326602</v>
      </c>
      <c r="J21" s="17">
        <v>91131.239468732907</v>
      </c>
      <c r="K21" s="17">
        <v>90211.672041277096</v>
      </c>
      <c r="L21" s="17">
        <v>90621.039403406801</v>
      </c>
      <c r="M21" s="17">
        <v>89456.071159358704</v>
      </c>
      <c r="N21" s="17">
        <v>86049.947362273204</v>
      </c>
      <c r="O21" s="17" t="s">
        <v>33</v>
      </c>
      <c r="P21" s="17" t="s">
        <v>33</v>
      </c>
    </row>
    <row r="22" spans="1:19">
      <c r="B22" s="26">
        <f t="shared" si="1"/>
        <v>1984</v>
      </c>
      <c r="C22" s="17">
        <v>64705.201525945551</v>
      </c>
      <c r="D22" s="17">
        <v>68066.142050287439</v>
      </c>
      <c r="E22" s="17">
        <v>75828.672536626706</v>
      </c>
      <c r="F22" s="17">
        <v>65151.882000349171</v>
      </c>
      <c r="G22" s="17">
        <v>60379.516175214827</v>
      </c>
      <c r="H22" s="17">
        <v>61977.552884439829</v>
      </c>
      <c r="I22" s="17">
        <f>AVERAGE(I20:I21)</f>
        <v>95922.164900937758</v>
      </c>
      <c r="J22" s="17">
        <f>AVERAGE(J19:J21)</f>
        <v>87985.295265886598</v>
      </c>
      <c r="K22" s="17">
        <v>73314.960153289314</v>
      </c>
      <c r="L22" s="17">
        <v>71912.676543679729</v>
      </c>
      <c r="M22" s="17">
        <f>L22*(K22/I22)^(1/3)</f>
        <v>65750.137218798569</v>
      </c>
      <c r="N22" s="17" t="s">
        <v>33</v>
      </c>
      <c r="O22" s="17" t="s">
        <v>33</v>
      </c>
      <c r="P22" s="17" t="s">
        <v>33</v>
      </c>
    </row>
    <row r="23" spans="1:19">
      <c r="B23" s="26">
        <f t="shared" si="1"/>
        <v>1985</v>
      </c>
      <c r="C23" s="17">
        <v>83228.295795346712</v>
      </c>
      <c r="D23" s="17">
        <v>90266.817987500079</v>
      </c>
      <c r="E23" s="17">
        <v>97720.822260576533</v>
      </c>
      <c r="F23" s="17">
        <v>86165.669162460457</v>
      </c>
      <c r="G23" s="17">
        <v>81136.000022104767</v>
      </c>
      <c r="H23" s="17">
        <f>AVERAGE(H25,H27)</f>
        <v>119876.43250635147</v>
      </c>
      <c r="I23" s="17">
        <v>83790</v>
      </c>
      <c r="J23" s="17">
        <f>AVERAGE(F23:H23)</f>
        <v>95726.033896972236</v>
      </c>
      <c r="K23" s="17">
        <v>78408.694700468506</v>
      </c>
      <c r="L23" s="17">
        <v>77097.011285234199</v>
      </c>
      <c r="M23" s="17" t="s">
        <v>33</v>
      </c>
      <c r="N23" s="17" t="s">
        <v>33</v>
      </c>
      <c r="O23" s="17" t="s">
        <v>33</v>
      </c>
      <c r="P23" s="17" t="s">
        <v>33</v>
      </c>
    </row>
    <row r="24" spans="1:19">
      <c r="B24" s="26">
        <f t="shared" si="1"/>
        <v>1986</v>
      </c>
      <c r="C24" s="17">
        <v>176843.71500948412</v>
      </c>
      <c r="D24" s="17">
        <v>188488.80414368509</v>
      </c>
      <c r="E24" s="17">
        <v>176024.85402518633</v>
      </c>
      <c r="F24" s="17">
        <v>153565.38061960976</v>
      </c>
      <c r="G24" s="17">
        <f>AVERAGE(C24:E24)</f>
        <v>180452.45772611853</v>
      </c>
      <c r="H24" s="17">
        <f>AVERAGE(C24:F24)</f>
        <v>173730.68844949134</v>
      </c>
      <c r="I24" s="17">
        <f>AVERAGE(C24:G24)</f>
        <v>175075.04230481677</v>
      </c>
      <c r="J24" s="17">
        <f>AVERAGE(C24:H24)</f>
        <v>174850.9833289292</v>
      </c>
      <c r="K24" s="17">
        <v>77635.762600140311</v>
      </c>
      <c r="L24" s="17" t="s">
        <v>33</v>
      </c>
      <c r="M24" s="17" t="s">
        <v>33</v>
      </c>
      <c r="N24" s="17" t="s">
        <v>33</v>
      </c>
      <c r="O24" s="17" t="s">
        <v>33</v>
      </c>
      <c r="P24" s="17" t="s">
        <v>33</v>
      </c>
      <c r="R24" s="188"/>
    </row>
    <row r="25" spans="1:19">
      <c r="B25" s="26">
        <f t="shared" si="1"/>
        <v>1987</v>
      </c>
      <c r="C25" s="17">
        <v>161477.2328729408</v>
      </c>
      <c r="D25" s="17">
        <v>123313.80132987282</v>
      </c>
      <c r="E25" s="17">
        <f>AVERAGE(E24,E27:E28)</f>
        <v>143726.05833932789</v>
      </c>
      <c r="F25" s="17">
        <f>AVERAGE(F26:F28)</f>
        <v>129556.70028467166</v>
      </c>
      <c r="G25" s="17">
        <f>AVERAGE(C25:D25)</f>
        <v>142395.51710140682</v>
      </c>
      <c r="H25" s="17">
        <f>AVERAGE(C25:G25)</f>
        <v>140093.86198564401</v>
      </c>
      <c r="I25" s="17">
        <f>AVERAGE(C25:F25)</f>
        <v>139518.44820670329</v>
      </c>
      <c r="J25" s="17">
        <f>AVERAGE(J20:J24,C25:I25)</f>
        <v>127566.63941251142</v>
      </c>
      <c r="K25" s="17" t="s">
        <v>33</v>
      </c>
      <c r="L25" s="17" t="s">
        <v>33</v>
      </c>
      <c r="M25" s="17" t="s">
        <v>33</v>
      </c>
      <c r="N25" s="17" t="s">
        <v>33</v>
      </c>
      <c r="O25" s="17" t="s">
        <v>33</v>
      </c>
      <c r="P25" s="17" t="s">
        <v>33</v>
      </c>
    </row>
    <row r="26" spans="1:19">
      <c r="B26" s="26">
        <f t="shared" si="1"/>
        <v>1988</v>
      </c>
      <c r="C26" s="17">
        <v>133966.20936612907</v>
      </c>
      <c r="D26" s="17">
        <v>134715.06483256319</v>
      </c>
      <c r="E26" s="17">
        <f>AVERAGE(E23:E24)</f>
        <v>136872.83814288143</v>
      </c>
      <c r="F26" s="17">
        <f>AVERAGE(F24,F21)</f>
        <v>138499.82494424487</v>
      </c>
      <c r="G26" s="17">
        <f>AVERAGE(C26:D26)</f>
        <v>134340.63709934615</v>
      </c>
      <c r="H26" s="17">
        <f>AVERAGE(H23:H24)</f>
        <v>146803.56047792139</v>
      </c>
      <c r="I26" s="17">
        <f>AVERAGE(C26:G26)</f>
        <v>135678.91487703295</v>
      </c>
      <c r="J26" s="17" t="s">
        <v>33</v>
      </c>
      <c r="K26" s="17" t="s">
        <v>33</v>
      </c>
      <c r="L26" s="17" t="s">
        <v>33</v>
      </c>
      <c r="M26" s="17" t="s">
        <v>33</v>
      </c>
      <c r="N26" s="17" t="s">
        <v>33</v>
      </c>
      <c r="O26" s="17" t="s">
        <v>33</v>
      </c>
      <c r="P26" s="17" t="s">
        <v>33</v>
      </c>
    </row>
    <row r="27" spans="1:19">
      <c r="B27" s="26">
        <f t="shared" si="1"/>
        <v>1989</v>
      </c>
      <c r="C27" s="17">
        <v>75041.236836659024</v>
      </c>
      <c r="D27" s="17">
        <v>91711.022924877732</v>
      </c>
      <c r="E27" s="17">
        <f>AVERAGE(E28,E23:E24)</f>
        <v>132224.74931964005</v>
      </c>
      <c r="F27" s="17">
        <f>AVERAGE(F24,F20:F21)</f>
        <v>130304.75101873501</v>
      </c>
      <c r="G27" s="17">
        <f>AVERAGE(G20:G21)</f>
        <v>112940.92189571777</v>
      </c>
      <c r="H27" s="17">
        <f>AVERAGE(C27:E27)</f>
        <v>99659.003027058949</v>
      </c>
      <c r="I27" s="17" t="s">
        <v>33</v>
      </c>
      <c r="J27" s="17" t="s">
        <v>33</v>
      </c>
      <c r="K27" s="17" t="s">
        <v>33</v>
      </c>
      <c r="L27" s="17" t="s">
        <v>33</v>
      </c>
      <c r="M27" s="17" t="s">
        <v>33</v>
      </c>
      <c r="N27" s="17" t="s">
        <v>33</v>
      </c>
      <c r="O27" s="17" t="s">
        <v>33</v>
      </c>
      <c r="P27" s="17" t="s">
        <v>33</v>
      </c>
      <c r="R27" s="188"/>
    </row>
    <row r="28" spans="1:19">
      <c r="B28" s="26">
        <f t="shared" si="1"/>
        <v>1990</v>
      </c>
      <c r="C28" s="17">
        <v>118375.09212565998</v>
      </c>
      <c r="D28" s="17">
        <f>AVERAGE(D26:D27)</f>
        <v>113213.04387872046</v>
      </c>
      <c r="E28" s="17">
        <v>122928.57167315726</v>
      </c>
      <c r="F28" s="17">
        <f>AVERAGE(F23:F24)</f>
        <v>119865.52489103511</v>
      </c>
      <c r="G28" s="17">
        <f>AVERAGE(G24,G20:G21)</f>
        <v>135444.76717251801</v>
      </c>
      <c r="H28" s="17" t="s">
        <v>33</v>
      </c>
      <c r="I28" s="17" t="s">
        <v>33</v>
      </c>
      <c r="J28" s="17" t="s">
        <v>33</v>
      </c>
      <c r="K28" s="17" t="s">
        <v>33</v>
      </c>
      <c r="L28" s="17" t="s">
        <v>33</v>
      </c>
      <c r="M28" s="17" t="s">
        <v>33</v>
      </c>
      <c r="N28" s="17" t="s">
        <v>33</v>
      </c>
      <c r="O28" s="17" t="s">
        <v>33</v>
      </c>
      <c r="P28" s="17" t="s">
        <v>33</v>
      </c>
      <c r="S28" s="188"/>
    </row>
    <row r="29" spans="1:19">
      <c r="B29" s="27"/>
    </row>
    <row r="30" spans="1:19" s="24" customFormat="1">
      <c r="A30" s="24" t="s">
        <v>39</v>
      </c>
      <c r="B30" s="32" t="s">
        <v>53</v>
      </c>
      <c r="C30" s="24" t="s">
        <v>38</v>
      </c>
    </row>
    <row r="31" spans="1:19">
      <c r="B31" s="24" t="str">
        <f>B17</f>
        <v>Underwriting</v>
      </c>
      <c r="C31" s="24" t="str">
        <f>C17</f>
        <v>Age in Years</v>
      </c>
    </row>
    <row r="32" spans="1:19">
      <c r="B32" s="24" t="str">
        <f>B18</f>
        <v>Year</v>
      </c>
      <c r="C32" s="197">
        <f>C18</f>
        <v>17</v>
      </c>
      <c r="D32" s="197">
        <f t="shared" ref="D32:P32" si="2">D18</f>
        <v>18</v>
      </c>
      <c r="E32" s="197">
        <f t="shared" si="2"/>
        <v>19</v>
      </c>
      <c r="F32" s="197">
        <f t="shared" si="2"/>
        <v>20</v>
      </c>
      <c r="G32" s="197">
        <f t="shared" si="2"/>
        <v>21</v>
      </c>
      <c r="H32" s="197">
        <f t="shared" si="2"/>
        <v>22</v>
      </c>
      <c r="I32" s="197">
        <f t="shared" si="2"/>
        <v>23</v>
      </c>
      <c r="J32" s="197">
        <f t="shared" si="2"/>
        <v>24</v>
      </c>
      <c r="K32" s="197">
        <f t="shared" si="2"/>
        <v>25</v>
      </c>
      <c r="L32" s="197">
        <f t="shared" si="2"/>
        <v>26</v>
      </c>
      <c r="M32" s="197">
        <f t="shared" si="2"/>
        <v>27</v>
      </c>
      <c r="N32" s="197">
        <f t="shared" si="2"/>
        <v>28</v>
      </c>
      <c r="O32" s="197">
        <f t="shared" si="2"/>
        <v>29</v>
      </c>
      <c r="P32" s="197">
        <f t="shared" si="2"/>
        <v>30</v>
      </c>
    </row>
    <row r="33" spans="1:31">
      <c r="B33" s="24">
        <f t="shared" ref="B33:C42" si="3">B19</f>
        <v>1981</v>
      </c>
      <c r="C33" s="206">
        <f t="shared" si="3"/>
        <v>90830.641973516991</v>
      </c>
      <c r="D33" s="207">
        <f>IFERROR(D19+SUM($D5:D5),"")</f>
        <v>108332.18625778997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31">
      <c r="B34" s="24">
        <f t="shared" si="3"/>
        <v>1982</v>
      </c>
      <c r="C34" s="206">
        <f t="shared" si="3"/>
        <v>117743.4321649818</v>
      </c>
      <c r="D34" s="207">
        <f>IFERROR(D20+SUM($D6:D6),"")</f>
        <v>235107.98277934006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31">
      <c r="B35" s="24">
        <f t="shared" si="3"/>
        <v>1983</v>
      </c>
      <c r="C35" s="206">
        <f t="shared" si="3"/>
        <v>102189.87990797986</v>
      </c>
      <c r="D35" s="207">
        <f>IFERROR(D21+SUM($D7:D7),"")</f>
        <v>124466.02940306222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31">
      <c r="B36" s="24">
        <f t="shared" si="3"/>
        <v>1984</v>
      </c>
      <c r="C36" s="206">
        <f t="shared" si="3"/>
        <v>64705.201525945551</v>
      </c>
      <c r="D36" s="207">
        <f>IFERROR(D22+SUM($D8:D8),"")</f>
        <v>99588.432050287476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31">
      <c r="B37" s="24">
        <f t="shared" si="3"/>
        <v>1985</v>
      </c>
      <c r="C37" s="206">
        <f t="shared" si="3"/>
        <v>83228.295795346712</v>
      </c>
      <c r="D37" s="207">
        <f>IFERROR(D23+SUM($D9:D9),"")</f>
        <v>156281.17798750006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31">
      <c r="B38" s="24">
        <f t="shared" si="3"/>
        <v>1986</v>
      </c>
      <c r="C38" s="206">
        <f t="shared" si="3"/>
        <v>176843.71500948412</v>
      </c>
      <c r="D38" s="207">
        <f>IFERROR(D24+SUM($D10:D10),"")</f>
        <v>186874.24414368509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31">
      <c r="B39" s="24">
        <f t="shared" si="3"/>
        <v>1987</v>
      </c>
      <c r="C39" s="206">
        <f t="shared" si="3"/>
        <v>161477.2328729408</v>
      </c>
      <c r="D39" s="207">
        <f>IFERROR(D25+SUM($D11:D11),"")</f>
        <v>131500.01132987277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31">
      <c r="B40" s="24">
        <f t="shared" si="3"/>
        <v>1988</v>
      </c>
      <c r="C40" s="206">
        <f t="shared" si="3"/>
        <v>133966.20936612907</v>
      </c>
      <c r="D40" s="207">
        <f>IFERROR(D26+SUM($D12:D12),"")</f>
        <v>164883.80983256319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31">
      <c r="B41" s="24">
        <f t="shared" si="3"/>
        <v>1989</v>
      </c>
      <c r="C41" s="206">
        <f t="shared" si="3"/>
        <v>75041.236836659024</v>
      </c>
      <c r="D41" s="207">
        <f>IFERROR(D27+SUM($D13:D13),"")</f>
        <v>104996.85292487775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31">
      <c r="B42" s="24">
        <f t="shared" si="3"/>
        <v>1990</v>
      </c>
      <c r="C42" s="206">
        <f t="shared" si="3"/>
        <v>118375.09212565998</v>
      </c>
      <c r="D42" s="207">
        <f>IFERROR(D28+SUM($D14:D14),"")</f>
        <v>182247.23887872047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31">
      <c r="B43" s="24"/>
    </row>
    <row r="44" spans="1:31" s="24" customFormat="1">
      <c r="A44" s="24" t="s">
        <v>40</v>
      </c>
      <c r="B44" s="32" t="s">
        <v>54</v>
      </c>
      <c r="C44" s="24" t="s">
        <v>41</v>
      </c>
    </row>
    <row r="45" spans="1:31">
      <c r="B45" s="24" t="str">
        <f>B31</f>
        <v>Underwriting</v>
      </c>
      <c r="C45" s="24" t="str">
        <f>C31</f>
        <v>Age in Years</v>
      </c>
    </row>
    <row r="46" spans="1:31" s="24" customFormat="1">
      <c r="B46" s="24" t="str">
        <f t="shared" ref="B46:B56" si="4">B32</f>
        <v>Year</v>
      </c>
      <c r="C46" s="24" t="str">
        <f t="shared" ref="C46:O46" si="5">D32&amp;"/"&amp;C32</f>
        <v>18/17</v>
      </c>
      <c r="D46" s="24" t="str">
        <f t="shared" si="5"/>
        <v>19/18</v>
      </c>
      <c r="E46" s="24" t="str">
        <f t="shared" si="5"/>
        <v>20/19</v>
      </c>
      <c r="F46" s="24" t="str">
        <f t="shared" si="5"/>
        <v>21/20</v>
      </c>
      <c r="G46" s="24" t="str">
        <f t="shared" si="5"/>
        <v>22/21</v>
      </c>
      <c r="H46" s="24" t="str">
        <f t="shared" si="5"/>
        <v>23/22</v>
      </c>
      <c r="I46" s="24" t="str">
        <f t="shared" si="5"/>
        <v>24/23</v>
      </c>
      <c r="J46" s="24" t="str">
        <f t="shared" si="5"/>
        <v>25/24</v>
      </c>
      <c r="K46" s="24" t="str">
        <f t="shared" si="5"/>
        <v>26/25</v>
      </c>
      <c r="L46" s="24" t="str">
        <f t="shared" si="5"/>
        <v>27/26</v>
      </c>
      <c r="M46" s="24" t="str">
        <f t="shared" si="5"/>
        <v>28/27</v>
      </c>
      <c r="N46" s="24" t="str">
        <f t="shared" si="5"/>
        <v>29/28</v>
      </c>
      <c r="O46" s="24" t="str">
        <f t="shared" si="5"/>
        <v>30/29</v>
      </c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>
      <c r="B47" s="24">
        <f t="shared" si="4"/>
        <v>1981</v>
      </c>
      <c r="C47" s="31">
        <f t="shared" ref="C47:O56" si="6">IFERROR(D33/C33,"")</f>
        <v>1.1926832608909206</v>
      </c>
      <c r="D47" s="31">
        <f t="shared" si="6"/>
        <v>0</v>
      </c>
      <c r="E47" s="31" t="str">
        <f t="shared" si="6"/>
        <v/>
      </c>
      <c r="F47" s="31" t="str">
        <f t="shared" si="6"/>
        <v/>
      </c>
      <c r="G47" s="205" t="str">
        <f t="shared" si="6"/>
        <v/>
      </c>
      <c r="H47" s="31" t="str">
        <f t="shared" si="6"/>
        <v/>
      </c>
      <c r="I47" s="31" t="str">
        <f t="shared" si="6"/>
        <v/>
      </c>
      <c r="J47" s="31" t="str">
        <f t="shared" si="6"/>
        <v/>
      </c>
      <c r="K47" s="31" t="str">
        <f t="shared" si="6"/>
        <v/>
      </c>
      <c r="L47" s="31" t="str">
        <f t="shared" si="6"/>
        <v/>
      </c>
      <c r="M47" s="31" t="str">
        <f t="shared" si="6"/>
        <v/>
      </c>
      <c r="N47" s="31" t="str">
        <f t="shared" si="6"/>
        <v/>
      </c>
      <c r="O47" s="31" t="str">
        <f t="shared" si="6"/>
        <v/>
      </c>
    </row>
    <row r="48" spans="1:31">
      <c r="B48" s="24">
        <f t="shared" si="4"/>
        <v>1982</v>
      </c>
      <c r="C48" s="31">
        <f t="shared" ref="C48:O48" si="7">IFERROR(D34/C34,"")</f>
        <v>1.9967821428027284</v>
      </c>
      <c r="D48" s="31">
        <f t="shared" si="7"/>
        <v>0</v>
      </c>
      <c r="E48" s="31" t="str">
        <f t="shared" si="7"/>
        <v/>
      </c>
      <c r="F48" s="31" t="str">
        <f t="shared" si="7"/>
        <v/>
      </c>
      <c r="G48" s="205" t="str">
        <f t="shared" si="6"/>
        <v/>
      </c>
      <c r="H48" s="31" t="str">
        <f t="shared" si="7"/>
        <v/>
      </c>
      <c r="I48" s="31" t="str">
        <f t="shared" si="7"/>
        <v/>
      </c>
      <c r="J48" s="31" t="str">
        <f t="shared" si="7"/>
        <v/>
      </c>
      <c r="K48" s="31" t="str">
        <f t="shared" si="7"/>
        <v/>
      </c>
      <c r="L48" s="31" t="str">
        <f t="shared" si="7"/>
        <v/>
      </c>
      <c r="M48" s="31" t="str">
        <f t="shared" si="7"/>
        <v/>
      </c>
      <c r="N48" s="31" t="str">
        <f t="shared" si="7"/>
        <v/>
      </c>
      <c r="O48" s="31" t="str">
        <f t="shared" si="7"/>
        <v/>
      </c>
    </row>
    <row r="49" spans="1:15">
      <c r="B49" s="24">
        <f t="shared" si="4"/>
        <v>1983</v>
      </c>
      <c r="C49" s="31">
        <f t="shared" ref="C49:O49" si="8">IFERROR(D35/C35,"")</f>
        <v>1.2179878234042512</v>
      </c>
      <c r="D49" s="31">
        <f t="shared" si="8"/>
        <v>0</v>
      </c>
      <c r="E49" s="31" t="str">
        <f t="shared" si="8"/>
        <v/>
      </c>
      <c r="F49" s="31" t="str">
        <f t="shared" si="8"/>
        <v/>
      </c>
      <c r="G49" s="205" t="str">
        <f t="shared" si="6"/>
        <v/>
      </c>
      <c r="H49" s="31" t="str">
        <f t="shared" si="8"/>
        <v/>
      </c>
      <c r="I49" s="31" t="str">
        <f t="shared" si="8"/>
        <v/>
      </c>
      <c r="J49" s="31" t="str">
        <f t="shared" si="8"/>
        <v/>
      </c>
      <c r="K49" s="31" t="str">
        <f t="shared" si="8"/>
        <v/>
      </c>
      <c r="L49" s="31" t="str">
        <f t="shared" si="8"/>
        <v/>
      </c>
      <c r="M49" s="31" t="str">
        <f t="shared" si="8"/>
        <v/>
      </c>
      <c r="N49" s="31" t="str">
        <f t="shared" si="8"/>
        <v/>
      </c>
      <c r="O49" s="31" t="str">
        <f t="shared" si="8"/>
        <v/>
      </c>
    </row>
    <row r="50" spans="1:15">
      <c r="B50" s="24">
        <f t="shared" si="4"/>
        <v>1984</v>
      </c>
      <c r="C50" s="31">
        <f t="shared" ref="C50:O50" si="9">IFERROR(D36/C36,"")</f>
        <v>1.5391101441876263</v>
      </c>
      <c r="D50" s="31">
        <f t="shared" si="9"/>
        <v>0</v>
      </c>
      <c r="E50" s="31" t="str">
        <f t="shared" si="9"/>
        <v/>
      </c>
      <c r="F50" s="31" t="str">
        <f t="shared" si="9"/>
        <v/>
      </c>
      <c r="G50" s="205" t="str">
        <f t="shared" si="6"/>
        <v/>
      </c>
      <c r="H50" s="31" t="str">
        <f t="shared" si="9"/>
        <v/>
      </c>
      <c r="I50" s="31" t="str">
        <f t="shared" si="9"/>
        <v/>
      </c>
      <c r="J50" s="31" t="str">
        <f t="shared" si="9"/>
        <v/>
      </c>
      <c r="K50" s="31" t="str">
        <f t="shared" si="9"/>
        <v/>
      </c>
      <c r="L50" s="31" t="str">
        <f t="shared" si="9"/>
        <v/>
      </c>
      <c r="M50" s="31" t="str">
        <f t="shared" si="9"/>
        <v/>
      </c>
      <c r="N50" s="31" t="str">
        <f t="shared" si="9"/>
        <v/>
      </c>
      <c r="O50" s="31" t="str">
        <f t="shared" si="9"/>
        <v/>
      </c>
    </row>
    <row r="51" spans="1:15">
      <c r="B51" s="24">
        <f t="shared" si="4"/>
        <v>1985</v>
      </c>
      <c r="C51" s="31">
        <f t="shared" ref="C51:O51" si="10">IFERROR(D37/C37,"")</f>
        <v>1.8777409352678074</v>
      </c>
      <c r="D51" s="31">
        <f t="shared" si="10"/>
        <v>0</v>
      </c>
      <c r="E51" s="31" t="str">
        <f t="shared" si="10"/>
        <v/>
      </c>
      <c r="F51" s="31" t="str">
        <f t="shared" si="10"/>
        <v/>
      </c>
      <c r="G51" s="205" t="str">
        <f t="shared" si="6"/>
        <v/>
      </c>
      <c r="H51" s="31" t="str">
        <f t="shared" si="10"/>
        <v/>
      </c>
      <c r="I51" s="31" t="str">
        <f t="shared" si="10"/>
        <v/>
      </c>
      <c r="J51" s="31" t="str">
        <f t="shared" si="10"/>
        <v/>
      </c>
      <c r="K51" s="31" t="str">
        <f t="shared" si="10"/>
        <v/>
      </c>
      <c r="L51" s="31" t="str">
        <f t="shared" si="10"/>
        <v/>
      </c>
      <c r="M51" s="31" t="str">
        <f t="shared" si="10"/>
        <v/>
      </c>
      <c r="N51" s="31" t="str">
        <f t="shared" si="10"/>
        <v/>
      </c>
      <c r="O51" s="31" t="str">
        <f t="shared" si="10"/>
        <v/>
      </c>
    </row>
    <row r="52" spans="1:15">
      <c r="B52" s="24">
        <f t="shared" si="4"/>
        <v>1986</v>
      </c>
      <c r="C52" s="31">
        <f t="shared" ref="C52:O52" si="11">IFERROR(D38/C38,"")</f>
        <v>1.056719737728101</v>
      </c>
      <c r="D52" s="31">
        <f t="shared" si="11"/>
        <v>0</v>
      </c>
      <c r="E52" s="31" t="str">
        <f t="shared" si="11"/>
        <v/>
      </c>
      <c r="F52" s="31" t="str">
        <f t="shared" si="11"/>
        <v/>
      </c>
      <c r="G52" s="205" t="str">
        <f t="shared" si="6"/>
        <v/>
      </c>
      <c r="H52" s="31" t="str">
        <f t="shared" si="11"/>
        <v/>
      </c>
      <c r="I52" s="31" t="str">
        <f t="shared" si="11"/>
        <v/>
      </c>
      <c r="J52" s="31" t="str">
        <f t="shared" si="11"/>
        <v/>
      </c>
      <c r="K52" s="31" t="str">
        <f t="shared" si="11"/>
        <v/>
      </c>
      <c r="L52" s="31" t="str">
        <f t="shared" si="11"/>
        <v/>
      </c>
      <c r="M52" s="31" t="str">
        <f t="shared" si="11"/>
        <v/>
      </c>
      <c r="N52" s="31" t="str">
        <f t="shared" si="11"/>
        <v/>
      </c>
      <c r="O52" s="31" t="str">
        <f t="shared" si="11"/>
        <v/>
      </c>
    </row>
    <row r="53" spans="1:15">
      <c r="B53" s="24">
        <f t="shared" si="4"/>
        <v>1987</v>
      </c>
      <c r="C53" s="31">
        <f t="shared" ref="C53:O53" si="12">IFERROR(D39/C39,"")</f>
        <v>0.81435635841830556</v>
      </c>
      <c r="D53" s="31">
        <f t="shared" si="12"/>
        <v>0</v>
      </c>
      <c r="E53" s="31" t="str">
        <f t="shared" si="12"/>
        <v/>
      </c>
      <c r="F53" s="31" t="str">
        <f t="shared" si="12"/>
        <v/>
      </c>
      <c r="G53" s="205" t="str">
        <f t="shared" si="6"/>
        <v/>
      </c>
      <c r="H53" s="31" t="str">
        <f t="shared" si="12"/>
        <v/>
      </c>
      <c r="I53" s="31" t="str">
        <f t="shared" si="12"/>
        <v/>
      </c>
      <c r="J53" s="31" t="str">
        <f t="shared" si="12"/>
        <v/>
      </c>
      <c r="K53" s="31" t="str">
        <f t="shared" si="12"/>
        <v/>
      </c>
      <c r="L53" s="31" t="str">
        <f t="shared" si="12"/>
        <v/>
      </c>
      <c r="M53" s="31" t="str">
        <f t="shared" si="12"/>
        <v/>
      </c>
      <c r="N53" s="31" t="str">
        <f t="shared" si="12"/>
        <v/>
      </c>
      <c r="O53" s="31" t="str">
        <f t="shared" si="12"/>
        <v/>
      </c>
    </row>
    <row r="54" spans="1:15">
      <c r="B54" s="24">
        <f t="shared" si="4"/>
        <v>1988</v>
      </c>
      <c r="C54" s="31">
        <f t="shared" ref="C54:O54" si="13">IFERROR(D40/C40,"")</f>
        <v>1.2307865588846845</v>
      </c>
      <c r="D54" s="31">
        <f t="shared" si="13"/>
        <v>0</v>
      </c>
      <c r="E54" s="31" t="str">
        <f t="shared" si="13"/>
        <v/>
      </c>
      <c r="F54" s="31" t="str">
        <f t="shared" si="13"/>
        <v/>
      </c>
      <c r="G54" s="205" t="str">
        <f t="shared" si="6"/>
        <v/>
      </c>
      <c r="H54" s="31" t="str">
        <f t="shared" si="13"/>
        <v/>
      </c>
      <c r="I54" s="31" t="str">
        <f t="shared" si="13"/>
        <v/>
      </c>
      <c r="J54" s="31" t="str">
        <f t="shared" si="13"/>
        <v/>
      </c>
      <c r="K54" s="31" t="str">
        <f t="shared" si="13"/>
        <v/>
      </c>
      <c r="L54" s="31" t="str">
        <f t="shared" si="13"/>
        <v/>
      </c>
      <c r="M54" s="31" t="str">
        <f t="shared" si="13"/>
        <v/>
      </c>
      <c r="N54" s="31" t="str">
        <f t="shared" si="13"/>
        <v/>
      </c>
      <c r="O54" s="31" t="str">
        <f t="shared" si="13"/>
        <v/>
      </c>
    </row>
    <row r="55" spans="1:15">
      <c r="B55" s="24">
        <f t="shared" si="4"/>
        <v>1989</v>
      </c>
      <c r="C55" s="31">
        <f t="shared" ref="C55:O55" si="14">IFERROR(D41/C41,"")</f>
        <v>1.3991887307697579</v>
      </c>
      <c r="D55" s="31">
        <f t="shared" si="14"/>
        <v>0</v>
      </c>
      <c r="E55" s="31" t="str">
        <f t="shared" si="14"/>
        <v/>
      </c>
      <c r="F55" s="31" t="str">
        <f t="shared" si="14"/>
        <v/>
      </c>
      <c r="G55" s="205" t="str">
        <f t="shared" si="6"/>
        <v/>
      </c>
      <c r="H55" s="31" t="str">
        <f t="shared" si="14"/>
        <v/>
      </c>
      <c r="I55" s="31" t="str">
        <f t="shared" si="14"/>
        <v/>
      </c>
      <c r="J55" s="31" t="str">
        <f t="shared" si="14"/>
        <v/>
      </c>
      <c r="K55" s="31" t="str">
        <f t="shared" si="14"/>
        <v/>
      </c>
      <c r="L55" s="31" t="str">
        <f t="shared" si="14"/>
        <v/>
      </c>
      <c r="M55" s="31" t="str">
        <f t="shared" si="14"/>
        <v/>
      </c>
      <c r="N55" s="31" t="str">
        <f t="shared" si="14"/>
        <v/>
      </c>
      <c r="O55" s="31" t="str">
        <f t="shared" si="14"/>
        <v/>
      </c>
    </row>
    <row r="56" spans="1:15">
      <c r="B56" s="24">
        <f t="shared" si="4"/>
        <v>1990</v>
      </c>
      <c r="C56" s="31">
        <f t="shared" ref="C56:O56" si="15">IFERROR(D42/C42,"")</f>
        <v>1.5395742094566449</v>
      </c>
      <c r="D56" s="31">
        <f t="shared" si="15"/>
        <v>0</v>
      </c>
      <c r="E56" s="31" t="str">
        <f t="shared" si="15"/>
        <v/>
      </c>
      <c r="F56" s="31" t="str">
        <f t="shared" si="15"/>
        <v/>
      </c>
      <c r="G56" s="205" t="str">
        <f t="shared" si="6"/>
        <v/>
      </c>
      <c r="H56" s="31" t="str">
        <f t="shared" si="15"/>
        <v/>
      </c>
      <c r="I56" s="31" t="str">
        <f t="shared" si="15"/>
        <v/>
      </c>
      <c r="J56" s="31" t="str">
        <f t="shared" si="15"/>
        <v/>
      </c>
      <c r="K56" s="31" t="str">
        <f t="shared" si="15"/>
        <v/>
      </c>
      <c r="L56" s="31" t="str">
        <f t="shared" si="15"/>
        <v/>
      </c>
      <c r="M56" s="31" t="str">
        <f t="shared" si="15"/>
        <v/>
      </c>
      <c r="N56" s="31" t="str">
        <f t="shared" si="15"/>
        <v/>
      </c>
      <c r="O56" s="31" t="str">
        <f t="shared" si="15"/>
        <v/>
      </c>
    </row>
    <row r="57" spans="1:15">
      <c r="B57" s="24"/>
    </row>
    <row r="58" spans="1:15">
      <c r="B58" s="24" t="s">
        <v>45</v>
      </c>
      <c r="C58" s="31"/>
      <c r="D58" s="31"/>
      <c r="E58" s="31"/>
      <c r="F58" s="31"/>
      <c r="G58" s="205">
        <f t="shared" ref="G58" si="16">(SUM(G47:G56)-MIN(G47:G56)-MAX(G47:G56))/(COUNT(G47:G56)-2)</f>
        <v>0</v>
      </c>
      <c r="H58" s="31"/>
      <c r="I58" s="31"/>
      <c r="J58" s="31"/>
      <c r="K58" s="31"/>
      <c r="L58" s="31"/>
      <c r="M58" s="31"/>
      <c r="N58" s="31"/>
      <c r="O58" s="31"/>
    </row>
    <row r="59" spans="1:15" ht="38.25">
      <c r="B59" s="28" t="s">
        <v>44</v>
      </c>
      <c r="C59" s="31"/>
      <c r="D59" s="31"/>
      <c r="E59" s="31"/>
      <c r="F59" s="31"/>
      <c r="G59" s="205">
        <f ca="1">SUM((OFFSET(Step1Pivot,10-COUNTBLANK(H$33:H$42),H32-16)):(OFFSET(Step1Pivot,6-COUNTBLANK(H$33:H$42),H32-16)))  /  SUM((OFFSET(Step1Pivot,10-COUNTBLANK(H$33:H$42),G32-16)):(OFFSET(Step1Pivot,6-COUNTBLANK(H$33:H$42),G32-16)))</f>
        <v>1.6240265315135017E-4</v>
      </c>
      <c r="H59" s="31"/>
      <c r="I59" s="31"/>
      <c r="J59" s="31"/>
      <c r="K59" s="31"/>
      <c r="L59" s="31"/>
      <c r="M59" s="31"/>
      <c r="N59" s="31"/>
    </row>
    <row r="60" spans="1:15" s="107" customFormat="1">
      <c r="B60" s="187" t="s">
        <v>15</v>
      </c>
      <c r="C60" s="31"/>
      <c r="D60" s="31"/>
      <c r="E60" s="31"/>
      <c r="F60" s="31"/>
      <c r="G60" s="205">
        <f t="shared" ref="G60" ca="1" si="17">G59</f>
        <v>1.6240265315135017E-4</v>
      </c>
      <c r="H60" s="31"/>
      <c r="I60" s="31"/>
      <c r="J60" s="31"/>
      <c r="K60" s="31"/>
      <c r="L60" s="31"/>
      <c r="M60" s="31"/>
      <c r="N60" s="31"/>
      <c r="O60" s="34" t="s">
        <v>37</v>
      </c>
    </row>
    <row r="61" spans="1:15" ht="26.25" thickBot="1">
      <c r="B61" s="28" t="s">
        <v>36</v>
      </c>
      <c r="C61" s="31"/>
      <c r="D61" s="31"/>
      <c r="E61" s="31"/>
      <c r="F61" s="31"/>
      <c r="G61" s="205">
        <f t="shared" ref="G61" ca="1" si="18">G59*H61</f>
        <v>0</v>
      </c>
      <c r="H61" s="31"/>
      <c r="I61" s="31"/>
      <c r="J61" s="31"/>
      <c r="K61" s="31"/>
      <c r="L61" s="31"/>
      <c r="M61" s="31"/>
      <c r="N61" s="31"/>
      <c r="O61" s="196">
        <f ca="1">'2) Solution'!$O$61</f>
        <v>1.5917757641341232</v>
      </c>
    </row>
    <row r="62" spans="1:15" ht="13.5" thickTop="1">
      <c r="B62" s="24"/>
    </row>
    <row r="63" spans="1:15" s="24" customFormat="1">
      <c r="A63" s="24" t="s">
        <v>42</v>
      </c>
      <c r="B63" s="32" t="s">
        <v>55</v>
      </c>
      <c r="C63" s="24" t="s">
        <v>43</v>
      </c>
    </row>
    <row r="64" spans="1:15">
      <c r="B64" s="24" t="str">
        <f t="shared" ref="B64:B75" si="19">B45</f>
        <v>Underwriting</v>
      </c>
    </row>
    <row r="65" spans="1:16">
      <c r="B65" s="24" t="str">
        <f t="shared" si="19"/>
        <v>Year</v>
      </c>
      <c r="C65" s="197">
        <f t="shared" ref="C65:P65" si="20">C32</f>
        <v>17</v>
      </c>
      <c r="D65" s="197">
        <f t="shared" si="20"/>
        <v>18</v>
      </c>
      <c r="E65" s="197">
        <f t="shared" si="20"/>
        <v>19</v>
      </c>
      <c r="F65" s="197">
        <f t="shared" si="20"/>
        <v>20</v>
      </c>
      <c r="G65" s="197">
        <f t="shared" si="20"/>
        <v>21</v>
      </c>
      <c r="H65" s="197">
        <f t="shared" si="20"/>
        <v>22</v>
      </c>
      <c r="I65" s="197">
        <f t="shared" si="20"/>
        <v>23</v>
      </c>
      <c r="J65" s="197">
        <f t="shared" si="20"/>
        <v>24</v>
      </c>
      <c r="K65" s="197">
        <f t="shared" si="20"/>
        <v>25</v>
      </c>
      <c r="L65" s="197">
        <f t="shared" si="20"/>
        <v>26</v>
      </c>
      <c r="M65" s="197">
        <f t="shared" si="20"/>
        <v>27</v>
      </c>
      <c r="N65" s="197">
        <f t="shared" si="20"/>
        <v>28</v>
      </c>
      <c r="O65" s="197">
        <f t="shared" si="20"/>
        <v>29</v>
      </c>
      <c r="P65" s="197">
        <f t="shared" si="20"/>
        <v>30</v>
      </c>
    </row>
    <row r="66" spans="1:16">
      <c r="B66" s="24">
        <f t="shared" si="19"/>
        <v>1981</v>
      </c>
      <c r="C66" s="31">
        <f t="shared" ref="C66:P75" si="21">IFERROR(C19/C33,"")</f>
        <v>1</v>
      </c>
      <c r="D66" s="31">
        <f t="shared" si="21"/>
        <v>0.79928768839239916</v>
      </c>
      <c r="E66" s="31" t="str">
        <f t="shared" si="21"/>
        <v/>
      </c>
      <c r="F66" s="31" t="str">
        <f t="shared" si="21"/>
        <v/>
      </c>
      <c r="G66" s="205" t="str">
        <f t="shared" si="21"/>
        <v/>
      </c>
      <c r="H66" s="31" t="str">
        <f t="shared" si="21"/>
        <v/>
      </c>
      <c r="I66" s="31" t="str">
        <f t="shared" si="21"/>
        <v/>
      </c>
      <c r="J66" s="31" t="str">
        <f t="shared" si="21"/>
        <v/>
      </c>
      <c r="K66" s="31" t="str">
        <f t="shared" si="21"/>
        <v/>
      </c>
      <c r="L66" s="31" t="str">
        <f t="shared" si="21"/>
        <v/>
      </c>
      <c r="M66" s="31" t="str">
        <f t="shared" si="21"/>
        <v/>
      </c>
      <c r="N66" s="31" t="str">
        <f t="shared" si="21"/>
        <v/>
      </c>
      <c r="O66" s="31" t="str">
        <f t="shared" si="21"/>
        <v/>
      </c>
      <c r="P66" s="31" t="str">
        <f t="shared" si="21"/>
        <v/>
      </c>
    </row>
    <row r="67" spans="1:16">
      <c r="B67" s="24">
        <f t="shared" si="19"/>
        <v>1982</v>
      </c>
      <c r="C67" s="31">
        <f t="shared" ref="C67:P67" si="22">IFERROR(C20/C34,"")</f>
        <v>1</v>
      </c>
      <c r="D67" s="31">
        <f t="shared" si="22"/>
        <v>0.49836450210756611</v>
      </c>
      <c r="E67" s="31" t="str">
        <f t="shared" si="22"/>
        <v/>
      </c>
      <c r="F67" s="31" t="str">
        <f t="shared" si="22"/>
        <v/>
      </c>
      <c r="G67" s="205" t="str">
        <f t="shared" si="21"/>
        <v/>
      </c>
      <c r="H67" s="31" t="str">
        <f t="shared" si="22"/>
        <v/>
      </c>
      <c r="I67" s="31" t="str">
        <f t="shared" si="22"/>
        <v/>
      </c>
      <c r="J67" s="31" t="str">
        <f t="shared" si="22"/>
        <v/>
      </c>
      <c r="K67" s="31" t="str">
        <f t="shared" si="22"/>
        <v/>
      </c>
      <c r="L67" s="31" t="str">
        <f t="shared" si="22"/>
        <v/>
      </c>
      <c r="M67" s="31" t="str">
        <f t="shared" si="22"/>
        <v/>
      </c>
      <c r="N67" s="31" t="str">
        <f t="shared" si="22"/>
        <v/>
      </c>
      <c r="O67" s="31" t="str">
        <f t="shared" si="22"/>
        <v/>
      </c>
      <c r="P67" s="31" t="str">
        <f t="shared" si="22"/>
        <v/>
      </c>
    </row>
    <row r="68" spans="1:16">
      <c r="B68" s="24">
        <f t="shared" si="19"/>
        <v>1983</v>
      </c>
      <c r="C68" s="31">
        <f t="shared" ref="C68:P68" si="23">IFERROR(C21/C35,"")</f>
        <v>1</v>
      </c>
      <c r="D68" s="31">
        <f t="shared" si="23"/>
        <v>0.83827008785816737</v>
      </c>
      <c r="E68" s="31" t="str">
        <f t="shared" si="23"/>
        <v/>
      </c>
      <c r="F68" s="31" t="str">
        <f t="shared" si="23"/>
        <v/>
      </c>
      <c r="G68" s="205" t="str">
        <f t="shared" si="21"/>
        <v/>
      </c>
      <c r="H68" s="31" t="str">
        <f t="shared" si="23"/>
        <v/>
      </c>
      <c r="I68" s="31" t="str">
        <f t="shared" si="23"/>
        <v/>
      </c>
      <c r="J68" s="31" t="str">
        <f t="shared" si="23"/>
        <v/>
      </c>
      <c r="K68" s="31" t="str">
        <f t="shared" si="23"/>
        <v/>
      </c>
      <c r="L68" s="31" t="str">
        <f t="shared" si="23"/>
        <v/>
      </c>
      <c r="M68" s="31" t="str">
        <f t="shared" si="23"/>
        <v/>
      </c>
      <c r="N68" s="31" t="str">
        <f t="shared" si="23"/>
        <v/>
      </c>
      <c r="O68" s="31" t="str">
        <f t="shared" si="23"/>
        <v/>
      </c>
      <c r="P68" s="31" t="str">
        <f t="shared" si="23"/>
        <v/>
      </c>
    </row>
    <row r="69" spans="1:16">
      <c r="B69" s="24">
        <f t="shared" si="19"/>
        <v>1984</v>
      </c>
      <c r="C69" s="31">
        <f t="shared" ref="C69:P69" si="24">IFERROR(C22/C36,"")</f>
        <v>1</v>
      </c>
      <c r="D69" s="31">
        <f t="shared" si="24"/>
        <v>0.68347438200369737</v>
      </c>
      <c r="E69" s="31" t="str">
        <f t="shared" si="24"/>
        <v/>
      </c>
      <c r="F69" s="31" t="str">
        <f t="shared" si="24"/>
        <v/>
      </c>
      <c r="G69" s="205" t="str">
        <f t="shared" si="21"/>
        <v/>
      </c>
      <c r="H69" s="31" t="str">
        <f t="shared" si="24"/>
        <v/>
      </c>
      <c r="I69" s="31" t="str">
        <f t="shared" si="24"/>
        <v/>
      </c>
      <c r="J69" s="31" t="str">
        <f t="shared" si="24"/>
        <v/>
      </c>
      <c r="K69" s="31" t="str">
        <f t="shared" si="24"/>
        <v/>
      </c>
      <c r="L69" s="31" t="str">
        <f t="shared" si="24"/>
        <v/>
      </c>
      <c r="M69" s="31" t="str">
        <f t="shared" si="24"/>
        <v/>
      </c>
      <c r="N69" s="31" t="str">
        <f t="shared" si="24"/>
        <v/>
      </c>
      <c r="O69" s="31" t="str">
        <f t="shared" si="24"/>
        <v/>
      </c>
      <c r="P69" s="31" t="str">
        <f t="shared" si="24"/>
        <v/>
      </c>
    </row>
    <row r="70" spans="1:16">
      <c r="B70" s="24">
        <f t="shared" si="19"/>
        <v>1985</v>
      </c>
      <c r="C70" s="31">
        <f t="shared" ref="C70:P70" si="25">IFERROR(C23/C37,"")</f>
        <v>1</v>
      </c>
      <c r="D70" s="31">
        <f t="shared" si="25"/>
        <v>0.57759238284420877</v>
      </c>
      <c r="E70" s="31" t="str">
        <f t="shared" si="25"/>
        <v/>
      </c>
      <c r="F70" s="31" t="str">
        <f t="shared" si="25"/>
        <v/>
      </c>
      <c r="G70" s="205" t="str">
        <f t="shared" si="21"/>
        <v/>
      </c>
      <c r="H70" s="31" t="str">
        <f t="shared" si="25"/>
        <v/>
      </c>
      <c r="I70" s="31" t="str">
        <f t="shared" si="25"/>
        <v/>
      </c>
      <c r="J70" s="31" t="str">
        <f t="shared" si="25"/>
        <v/>
      </c>
      <c r="K70" s="31" t="str">
        <f t="shared" si="25"/>
        <v/>
      </c>
      <c r="L70" s="31" t="str">
        <f t="shared" si="25"/>
        <v/>
      </c>
      <c r="M70" s="31" t="str">
        <f t="shared" si="25"/>
        <v/>
      </c>
      <c r="N70" s="31" t="str">
        <f t="shared" si="25"/>
        <v/>
      </c>
      <c r="O70" s="31" t="str">
        <f t="shared" si="25"/>
        <v/>
      </c>
      <c r="P70" s="31" t="str">
        <f t="shared" si="25"/>
        <v/>
      </c>
    </row>
    <row r="71" spans="1:16">
      <c r="B71" s="24">
        <f t="shared" si="19"/>
        <v>1986</v>
      </c>
      <c r="C71" s="31">
        <f t="shared" ref="C71:P71" si="26">IFERROR(C24/C38,"")</f>
        <v>1</v>
      </c>
      <c r="D71" s="31">
        <f t="shared" si="26"/>
        <v>1.0086398208987997</v>
      </c>
      <c r="E71" s="31" t="str">
        <f t="shared" si="26"/>
        <v/>
      </c>
      <c r="F71" s="31" t="str">
        <f t="shared" si="26"/>
        <v/>
      </c>
      <c r="G71" s="205" t="str">
        <f t="shared" si="21"/>
        <v/>
      </c>
      <c r="H71" s="31" t="str">
        <f t="shared" si="26"/>
        <v/>
      </c>
      <c r="I71" s="31" t="str">
        <f t="shared" si="26"/>
        <v/>
      </c>
      <c r="J71" s="31" t="str">
        <f t="shared" si="26"/>
        <v/>
      </c>
      <c r="K71" s="31" t="str">
        <f t="shared" si="26"/>
        <v/>
      </c>
      <c r="L71" s="31" t="str">
        <f t="shared" si="26"/>
        <v/>
      </c>
      <c r="M71" s="31" t="str">
        <f t="shared" si="26"/>
        <v/>
      </c>
      <c r="N71" s="31" t="str">
        <f t="shared" si="26"/>
        <v/>
      </c>
      <c r="O71" s="31" t="str">
        <f t="shared" si="26"/>
        <v/>
      </c>
      <c r="P71" s="31" t="str">
        <f t="shared" si="26"/>
        <v/>
      </c>
    </row>
    <row r="72" spans="1:16">
      <c r="B72" s="24">
        <f t="shared" si="19"/>
        <v>1987</v>
      </c>
      <c r="C72" s="31">
        <f t="shared" ref="C72:P72" si="27">IFERROR(C25/C39,"")</f>
        <v>1</v>
      </c>
      <c r="D72" s="31">
        <f t="shared" si="27"/>
        <v>0.93774745783508318</v>
      </c>
      <c r="E72" s="31" t="str">
        <f t="shared" si="27"/>
        <v/>
      </c>
      <c r="F72" s="31" t="str">
        <f t="shared" si="27"/>
        <v/>
      </c>
      <c r="G72" s="205" t="str">
        <f t="shared" si="21"/>
        <v/>
      </c>
      <c r="H72" s="31" t="str">
        <f t="shared" si="27"/>
        <v/>
      </c>
      <c r="I72" s="31" t="str">
        <f t="shared" si="27"/>
        <v/>
      </c>
      <c r="J72" s="31" t="str">
        <f t="shared" si="27"/>
        <v/>
      </c>
      <c r="K72" s="31" t="str">
        <f t="shared" si="27"/>
        <v/>
      </c>
      <c r="L72" s="31" t="str">
        <f t="shared" si="27"/>
        <v/>
      </c>
      <c r="M72" s="31" t="str">
        <f t="shared" si="27"/>
        <v/>
      </c>
      <c r="N72" s="31" t="str">
        <f t="shared" si="27"/>
        <v/>
      </c>
      <c r="O72" s="31" t="str">
        <f t="shared" si="27"/>
        <v/>
      </c>
      <c r="P72" s="31" t="str">
        <f t="shared" si="27"/>
        <v/>
      </c>
    </row>
    <row r="73" spans="1:16">
      <c r="B73" s="24">
        <f t="shared" si="19"/>
        <v>1988</v>
      </c>
      <c r="C73" s="31">
        <f t="shared" ref="C73:P73" si="28">IFERROR(C26/C40,"")</f>
        <v>1</v>
      </c>
      <c r="D73" s="31">
        <f t="shared" si="28"/>
        <v>0.81703027707428721</v>
      </c>
      <c r="E73" s="31" t="str">
        <f t="shared" si="28"/>
        <v/>
      </c>
      <c r="F73" s="31" t="str">
        <f t="shared" si="28"/>
        <v/>
      </c>
      <c r="G73" s="205" t="str">
        <f t="shared" si="21"/>
        <v/>
      </c>
      <c r="H73" s="31" t="str">
        <f t="shared" si="28"/>
        <v/>
      </c>
      <c r="I73" s="31" t="str">
        <f t="shared" si="28"/>
        <v/>
      </c>
      <c r="J73" s="31" t="str">
        <f t="shared" si="28"/>
        <v/>
      </c>
      <c r="K73" s="31" t="str">
        <f t="shared" si="28"/>
        <v/>
      </c>
      <c r="L73" s="31" t="str">
        <f t="shared" si="28"/>
        <v/>
      </c>
      <c r="M73" s="31" t="str">
        <f t="shared" si="28"/>
        <v/>
      </c>
      <c r="N73" s="31" t="str">
        <f t="shared" si="28"/>
        <v/>
      </c>
      <c r="O73" s="31" t="str">
        <f t="shared" si="28"/>
        <v/>
      </c>
      <c r="P73" s="31" t="str">
        <f t="shared" si="28"/>
        <v/>
      </c>
    </row>
    <row r="74" spans="1:16">
      <c r="B74" s="24">
        <f t="shared" si="19"/>
        <v>1989</v>
      </c>
      <c r="C74" s="31">
        <f t="shared" ref="C74:P74" si="29">IFERROR(C27/C41,"")</f>
        <v>1</v>
      </c>
      <c r="D74" s="31">
        <f t="shared" si="29"/>
        <v>0.87346449317385111</v>
      </c>
      <c r="E74" s="31" t="str">
        <f t="shared" si="29"/>
        <v/>
      </c>
      <c r="F74" s="31" t="str">
        <f t="shared" si="29"/>
        <v/>
      </c>
      <c r="G74" s="205" t="str">
        <f t="shared" si="21"/>
        <v/>
      </c>
      <c r="H74" s="31" t="str">
        <f t="shared" si="29"/>
        <v/>
      </c>
      <c r="I74" s="31" t="str">
        <f t="shared" si="29"/>
        <v/>
      </c>
      <c r="J74" s="31" t="str">
        <f t="shared" si="29"/>
        <v/>
      </c>
      <c r="K74" s="31" t="str">
        <f t="shared" si="29"/>
        <v/>
      </c>
      <c r="L74" s="31" t="str">
        <f t="shared" si="29"/>
        <v/>
      </c>
      <c r="M74" s="31" t="str">
        <f t="shared" si="29"/>
        <v/>
      </c>
      <c r="N74" s="31" t="str">
        <f t="shared" si="29"/>
        <v/>
      </c>
      <c r="O74" s="31" t="str">
        <f t="shared" si="29"/>
        <v/>
      </c>
      <c r="P74" s="31" t="str">
        <f t="shared" si="29"/>
        <v/>
      </c>
    </row>
    <row r="75" spans="1:16">
      <c r="B75" s="24">
        <f t="shared" si="19"/>
        <v>1990</v>
      </c>
      <c r="C75" s="31">
        <f t="shared" ref="C75:P75" si="30">IFERROR(C28/C42,"")</f>
        <v>1</v>
      </c>
      <c r="D75" s="31">
        <f t="shared" si="30"/>
        <v>0.62120581126641927</v>
      </c>
      <c r="E75" s="31" t="str">
        <f t="shared" si="30"/>
        <v/>
      </c>
      <c r="F75" s="31" t="str">
        <f t="shared" si="30"/>
        <v/>
      </c>
      <c r="G75" s="205" t="str">
        <f t="shared" si="21"/>
        <v/>
      </c>
      <c r="H75" s="31" t="str">
        <f t="shared" si="30"/>
        <v/>
      </c>
      <c r="I75" s="31" t="str">
        <f t="shared" si="30"/>
        <v/>
      </c>
      <c r="J75" s="31" t="str">
        <f t="shared" si="30"/>
        <v/>
      </c>
      <c r="K75" s="31" t="str">
        <f t="shared" si="30"/>
        <v/>
      </c>
      <c r="L75" s="31" t="str">
        <f t="shared" si="30"/>
        <v/>
      </c>
      <c r="M75" s="31" t="str">
        <f t="shared" si="30"/>
        <v/>
      </c>
      <c r="N75" s="31" t="str">
        <f t="shared" si="30"/>
        <v/>
      </c>
      <c r="O75" s="31" t="str">
        <f t="shared" si="30"/>
        <v/>
      </c>
      <c r="P75" s="31" t="str">
        <f t="shared" si="30"/>
        <v/>
      </c>
    </row>
    <row r="76" spans="1:16">
      <c r="B76" s="2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1:16" ht="25.5">
      <c r="B77" s="28" t="s">
        <v>50</v>
      </c>
      <c r="C77" s="31"/>
      <c r="D77" s="31"/>
      <c r="E77" s="31"/>
      <c r="F77" s="31"/>
      <c r="G77" s="205" t="e">
        <f t="shared" ref="G77" si="31">SUM(G19:G28)/SUM(G33:G42)</f>
        <v>#DIV/0!</v>
      </c>
      <c r="H77" s="31"/>
      <c r="I77" s="31"/>
      <c r="J77" s="31"/>
      <c r="K77" s="31"/>
      <c r="L77" s="31"/>
      <c r="M77" s="31"/>
      <c r="N77" s="31"/>
      <c r="O77" s="31"/>
      <c r="P77" s="31"/>
    </row>
    <row r="78" spans="1:16">
      <c r="B78" s="187" t="s">
        <v>15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1:16">
      <c r="B79" s="1"/>
      <c r="D79" t="str">
        <f t="shared" ref="D79:P79" si="32">IF(D78&gt;C78,"Modify","")</f>
        <v/>
      </c>
      <c r="E79" t="str">
        <f t="shared" si="32"/>
        <v/>
      </c>
      <c r="F79" t="str">
        <f t="shared" si="32"/>
        <v/>
      </c>
      <c r="G79" t="str">
        <f t="shared" si="32"/>
        <v/>
      </c>
      <c r="H79" t="str">
        <f t="shared" si="32"/>
        <v/>
      </c>
      <c r="I79" t="str">
        <f t="shared" si="32"/>
        <v/>
      </c>
      <c r="J79" t="str">
        <f t="shared" si="32"/>
        <v/>
      </c>
      <c r="K79" t="str">
        <f t="shared" si="32"/>
        <v/>
      </c>
      <c r="L79" t="str">
        <f t="shared" si="32"/>
        <v/>
      </c>
      <c r="M79" t="str">
        <f t="shared" si="32"/>
        <v/>
      </c>
      <c r="N79" t="str">
        <f t="shared" si="32"/>
        <v/>
      </c>
      <c r="O79" t="str">
        <f t="shared" si="32"/>
        <v/>
      </c>
      <c r="P79" t="str">
        <f t="shared" si="32"/>
        <v/>
      </c>
    </row>
    <row r="80" spans="1:16">
      <c r="A80" s="24" t="s">
        <v>58</v>
      </c>
      <c r="B80" s="1"/>
    </row>
    <row r="81" spans="2:11" ht="38.25">
      <c r="B81" s="189" t="s">
        <v>35</v>
      </c>
      <c r="C81" s="31" t="e">
        <f t="shared" ref="C81:J81" si="33">(C61-1)/C78</f>
        <v>#DIV/0!</v>
      </c>
      <c r="D81" s="31" t="e">
        <f t="shared" si="33"/>
        <v>#DIV/0!</v>
      </c>
      <c r="E81" s="31" t="e">
        <f t="shared" si="33"/>
        <v>#DIV/0!</v>
      </c>
      <c r="F81" s="31" t="e">
        <f t="shared" si="33"/>
        <v>#DIV/0!</v>
      </c>
      <c r="G81" s="31" t="e">
        <f t="shared" ca="1" si="33"/>
        <v>#DIV/0!</v>
      </c>
      <c r="H81" s="31" t="e">
        <f t="shared" si="33"/>
        <v>#DIV/0!</v>
      </c>
      <c r="I81" s="31" t="e">
        <f t="shared" si="33"/>
        <v>#DIV/0!</v>
      </c>
      <c r="J81" s="31" t="e">
        <f t="shared" si="33"/>
        <v>#DIV/0!</v>
      </c>
      <c r="K81" s="31" t="e">
        <f>(K61-1)/K78</f>
        <v>#DIV/0!</v>
      </c>
    </row>
    <row r="82" spans="2:11">
      <c r="B82" s="24"/>
    </row>
    <row r="83" spans="2:11">
      <c r="B83" s="24"/>
    </row>
    <row r="84" spans="2:11">
      <c r="B84" s="24"/>
    </row>
    <row r="85" spans="2:11">
      <c r="B85" s="32" t="s">
        <v>56</v>
      </c>
    </row>
    <row r="86" spans="2:11" s="35" customFormat="1" ht="51">
      <c r="B86" s="35" t="s">
        <v>47</v>
      </c>
      <c r="C86" s="35" t="s">
        <v>34</v>
      </c>
      <c r="D86" s="35" t="s">
        <v>48</v>
      </c>
      <c r="E86" s="35" t="s">
        <v>49</v>
      </c>
      <c r="F86" s="35" t="s">
        <v>57</v>
      </c>
    </row>
    <row r="87" spans="2:11" ht="13.5" thickBot="1">
      <c r="B87" s="16">
        <f ca="1">OFFSET(Step3Pivot,0,10-(B66-1980))</f>
        <v>25</v>
      </c>
      <c r="C87" s="16">
        <v>1986</v>
      </c>
      <c r="D87" s="96">
        <f>K24</f>
        <v>77635.762600140311</v>
      </c>
      <c r="E87" s="196" t="str">
        <f ca="1">IFERROR(HLOOKUP(B87,$C$65:$K$81,17,FALSE),"")</f>
        <v/>
      </c>
      <c r="F87" s="113"/>
    </row>
    <row r="88" spans="2:11" ht="14.25" thickTop="1" thickBot="1">
      <c r="B88" s="16">
        <f ca="1">OFFSET(Step3Pivot,0,10-(B67-1980))</f>
        <v>24</v>
      </c>
      <c r="C88" s="16">
        <v>1987</v>
      </c>
      <c r="D88" s="96">
        <f>J25</f>
        <v>127566.63941251142</v>
      </c>
      <c r="E88" s="196" t="str">
        <f ca="1">IFERROR(HLOOKUP(B88,$C$65:$K$81,17,FALSE),"")</f>
        <v/>
      </c>
      <c r="F88" s="113"/>
    </row>
    <row r="89" spans="2:11" ht="14.25" thickTop="1" thickBot="1">
      <c r="B89" s="16">
        <f ca="1">OFFSET(Step3Pivot,0,10-(B68-1980))</f>
        <v>23</v>
      </c>
      <c r="C89" s="16">
        <v>1988</v>
      </c>
      <c r="D89" s="96">
        <f>I26</f>
        <v>135678.91487703295</v>
      </c>
      <c r="E89" s="196" t="str">
        <f ca="1">IFERROR(HLOOKUP(B89,$C$65:$K$81,17,FALSE),"")</f>
        <v/>
      </c>
      <c r="F89" s="113"/>
    </row>
    <row r="90" spans="2:11" ht="14.25" thickTop="1" thickBot="1">
      <c r="B90" s="16">
        <f ca="1">OFFSET(Step3Pivot,0,10-(B69-1980))</f>
        <v>22</v>
      </c>
      <c r="C90" s="16">
        <v>1989</v>
      </c>
      <c r="D90" s="96">
        <f>H27</f>
        <v>99659.003027058949</v>
      </c>
      <c r="E90" s="196" t="str">
        <f ca="1">IFERROR(HLOOKUP(B90,$C$65:$K$81,17,FALSE),"")</f>
        <v/>
      </c>
      <c r="F90" s="113"/>
    </row>
    <row r="91" spans="2:11" ht="14.25" thickTop="1" thickBot="1">
      <c r="B91" s="16">
        <f ca="1">OFFSET(Step3Pivot,0,10-(B70-1980))</f>
        <v>21</v>
      </c>
      <c r="C91" s="16">
        <v>1990</v>
      </c>
      <c r="D91" s="96">
        <f>G28</f>
        <v>135444.76717251801</v>
      </c>
      <c r="E91" s="196" t="str">
        <f ca="1">IFERROR(HLOOKUP(B91,$C$65:$K$81,17,FALSE),"")</f>
        <v/>
      </c>
      <c r="F91" s="113"/>
    </row>
    <row r="92" spans="2:11" ht="13.5" thickTop="1"/>
  </sheetData>
  <conditionalFormatting sqref="C81:K81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92"/>
  <sheetViews>
    <sheetView topLeftCell="G37" workbookViewId="0">
      <selection activeCell="U55" sqref="U55"/>
    </sheetView>
  </sheetViews>
  <sheetFormatPr defaultRowHeight="12.75"/>
  <cols>
    <col min="1" max="1" width="13.42578125" bestFit="1" customWidth="1"/>
    <col min="2" max="2" width="11.140625" bestFit="1" customWidth="1"/>
    <col min="3" max="3" width="13.140625" customWidth="1"/>
    <col min="4" max="16" width="12.5703125" bestFit="1" customWidth="1"/>
    <col min="19" max="19" width="17.7109375" bestFit="1" customWidth="1"/>
    <col min="20" max="20" width="12.42578125" bestFit="1" customWidth="1"/>
  </cols>
  <sheetData>
    <row r="1" spans="1:16">
      <c r="A1" s="24" t="s">
        <v>212</v>
      </c>
    </row>
    <row r="2" spans="1:16" s="24" customFormat="1">
      <c r="B2" s="32" t="s">
        <v>51</v>
      </c>
      <c r="C2" s="24" t="s">
        <v>30</v>
      </c>
    </row>
    <row r="3" spans="1:16" s="24" customFormat="1">
      <c r="B3" s="25" t="s">
        <v>31</v>
      </c>
      <c r="C3" s="1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B4" s="25" t="s">
        <v>3</v>
      </c>
      <c r="C4" s="1">
        <v>17</v>
      </c>
      <c r="D4" s="1">
        <v>18</v>
      </c>
      <c r="E4" s="1">
        <v>19</v>
      </c>
      <c r="F4" s="1">
        <v>20</v>
      </c>
      <c r="G4" s="1">
        <v>21</v>
      </c>
      <c r="H4" s="1">
        <v>22</v>
      </c>
      <c r="I4" s="1">
        <v>23</v>
      </c>
      <c r="J4" s="1">
        <v>24</v>
      </c>
      <c r="K4" s="1">
        <v>25</v>
      </c>
      <c r="L4" s="1">
        <v>26</v>
      </c>
      <c r="M4" s="1">
        <v>27</v>
      </c>
      <c r="N4" s="1">
        <v>28</v>
      </c>
      <c r="O4" s="1">
        <v>29</v>
      </c>
      <c r="P4" s="1">
        <v>30</v>
      </c>
    </row>
    <row r="5" spans="1:16">
      <c r="B5" s="29">
        <v>1981</v>
      </c>
      <c r="C5" s="17"/>
      <c r="D5" s="17">
        <f>AVERAGE(E5:G5)</f>
        <v>21743.603525306204</v>
      </c>
      <c r="E5" s="17">
        <v>-15651.699999999837</v>
      </c>
      <c r="F5" s="17">
        <v>-2460.6300000000047</v>
      </c>
      <c r="G5" s="17">
        <v>83343.140575918456</v>
      </c>
      <c r="H5" s="17">
        <v>93788.420000000042</v>
      </c>
      <c r="I5" s="17">
        <v>45472</v>
      </c>
      <c r="J5" s="17">
        <v>8709.1800000000512</v>
      </c>
      <c r="K5" s="17">
        <v>60700</v>
      </c>
      <c r="L5" s="17">
        <v>6410.2793870893502</v>
      </c>
      <c r="M5" s="17">
        <v>65088.609999999986</v>
      </c>
      <c r="N5" s="17">
        <v>-49622.619999999995</v>
      </c>
      <c r="O5" s="17">
        <v>48427.550000000047</v>
      </c>
      <c r="P5" s="17">
        <v>39786.310000000056</v>
      </c>
    </row>
    <row r="6" spans="1:16">
      <c r="B6" s="29">
        <v>1982</v>
      </c>
      <c r="C6" s="17"/>
      <c r="D6" s="17">
        <v>117938.51000000001</v>
      </c>
      <c r="E6" s="17">
        <v>1557.5400000000373</v>
      </c>
      <c r="F6" s="17">
        <v>15306.790000000037</v>
      </c>
      <c r="G6" s="17">
        <v>104331.80000000005</v>
      </c>
      <c r="H6" s="17">
        <v>74355.388977651077</v>
      </c>
      <c r="I6" s="17">
        <v>-10976.290000000037</v>
      </c>
      <c r="J6" s="17">
        <v>28626.030000000028</v>
      </c>
      <c r="K6" s="17">
        <v>71961.109999999986</v>
      </c>
      <c r="L6" s="17">
        <v>31285.530000000028</v>
      </c>
      <c r="M6" s="17">
        <v>-50536.199999999953</v>
      </c>
      <c r="N6" s="17">
        <v>81063.649999999907</v>
      </c>
      <c r="O6" s="17">
        <v>5383.1699999999255</v>
      </c>
      <c r="P6" s="17" t="s">
        <v>33</v>
      </c>
    </row>
    <row r="7" spans="1:16">
      <c r="B7" s="29">
        <v>1983</v>
      </c>
      <c r="C7" s="17"/>
      <c r="D7" s="17">
        <v>20129.880000000005</v>
      </c>
      <c r="E7" s="17">
        <v>170689.27000000002</v>
      </c>
      <c r="F7" s="17">
        <v>8432.1599999999162</v>
      </c>
      <c r="G7" s="17">
        <v>-76263.830000000075</v>
      </c>
      <c r="H7" s="17">
        <v>-209243.84999999998</v>
      </c>
      <c r="I7" s="17">
        <v>35668</v>
      </c>
      <c r="J7" s="17">
        <v>-24994.459999999963</v>
      </c>
      <c r="K7" s="17">
        <v>754.71999999997206</v>
      </c>
      <c r="L7" s="17">
        <v>3839.4599999999627</v>
      </c>
      <c r="M7" s="17">
        <v>7831.7700000000186</v>
      </c>
      <c r="N7" s="17">
        <v>5569.9699999999721</v>
      </c>
      <c r="O7" s="17" t="s">
        <v>33</v>
      </c>
      <c r="P7" s="17" t="s">
        <v>33</v>
      </c>
    </row>
    <row r="8" spans="1:16">
      <c r="B8" s="29">
        <v>1984</v>
      </c>
      <c r="C8" s="17"/>
      <c r="D8" s="17">
        <v>31522.290000000037</v>
      </c>
      <c r="E8" s="17">
        <v>72804.839999999967</v>
      </c>
      <c r="F8" s="17">
        <v>-100137.70999999996</v>
      </c>
      <c r="G8" s="17">
        <v>-44760.059999999939</v>
      </c>
      <c r="H8" s="17">
        <v>14988</v>
      </c>
      <c r="I8" s="17">
        <v>38881.280000000028</v>
      </c>
      <c r="J8" s="17">
        <f>AVERAGE(G8:I8)</f>
        <v>3036.4066666666963</v>
      </c>
      <c r="K8" s="17">
        <v>83691.37</v>
      </c>
      <c r="L8" s="17">
        <v>-13152.030000000028</v>
      </c>
      <c r="M8" s="17">
        <v>90926.579999999958</v>
      </c>
      <c r="N8" s="17" t="s">
        <v>33</v>
      </c>
      <c r="O8" s="17" t="s">
        <v>33</v>
      </c>
      <c r="P8" s="17" t="s">
        <v>33</v>
      </c>
    </row>
    <row r="9" spans="1:16">
      <c r="B9" s="29">
        <v>1985</v>
      </c>
      <c r="C9" s="17"/>
      <c r="D9" s="17">
        <v>66014.359999999986</v>
      </c>
      <c r="E9" s="17">
        <v>69911.170000000042</v>
      </c>
      <c r="F9" s="17">
        <f>AVERAGE(F5:F7)</f>
        <v>7092.7733333333163</v>
      </c>
      <c r="G9" s="17">
        <v>-47173.310000000056</v>
      </c>
      <c r="H9" s="17">
        <f>AVERAGE(H11:H12)</f>
        <v>4593.7859722222202</v>
      </c>
      <c r="I9" s="17">
        <v>-17571.300000000047</v>
      </c>
      <c r="J9" s="17">
        <v>-7138.9899999999907</v>
      </c>
      <c r="K9" s="17">
        <v>1746</v>
      </c>
      <c r="L9" s="17">
        <v>-12302.290000000037</v>
      </c>
      <c r="M9" s="17" t="s">
        <v>33</v>
      </c>
      <c r="N9" s="17" t="s">
        <v>33</v>
      </c>
      <c r="O9" s="17" t="s">
        <v>33</v>
      </c>
      <c r="P9" s="17" t="s">
        <v>33</v>
      </c>
    </row>
    <row r="10" spans="1:16">
      <c r="B10" s="29">
        <v>1986</v>
      </c>
      <c r="C10" s="17"/>
      <c r="D10" s="17">
        <v>-1614.5599999999977</v>
      </c>
      <c r="E10" s="17">
        <v>-1462.5100000000093</v>
      </c>
      <c r="F10" s="17">
        <f>AVERAGE(17000,F6)</f>
        <v>16153.395000000019</v>
      </c>
      <c r="G10" s="17">
        <f>AVERAGE(G13,G11)</f>
        <v>1033.9599999999919</v>
      </c>
      <c r="H10" s="17">
        <f>AVERAGE(H11:H13)</f>
        <v>3933.0906481481506</v>
      </c>
      <c r="I10" s="17">
        <v>-6746.640000000014</v>
      </c>
      <c r="J10" s="17">
        <v>1596.8200000000099</v>
      </c>
      <c r="K10" s="17">
        <v>-8279.0499999999884</v>
      </c>
      <c r="L10" s="17" t="s">
        <v>33</v>
      </c>
      <c r="M10" s="17" t="s">
        <v>33</v>
      </c>
      <c r="N10" s="17" t="s">
        <v>33</v>
      </c>
      <c r="O10" s="17" t="s">
        <v>33</v>
      </c>
      <c r="P10" s="17" t="s">
        <v>33</v>
      </c>
    </row>
    <row r="11" spans="1:16">
      <c r="B11" s="29">
        <v>1987</v>
      </c>
      <c r="C11" s="17"/>
      <c r="D11" s="17">
        <v>8186.2099999999627</v>
      </c>
      <c r="E11" s="17">
        <f>AVERAGE(E9:E10)</f>
        <v>34224.330000000016</v>
      </c>
      <c r="F11" s="17">
        <f>AVERAGE(F12:F14,14)</f>
        <v>7301.443888888869</v>
      </c>
      <c r="G11" s="17">
        <v>4231</v>
      </c>
      <c r="H11" s="17">
        <f>AVERAGE(F11:G11)</f>
        <v>5766.2219444444345</v>
      </c>
      <c r="I11" s="17">
        <v>420.23999999999069</v>
      </c>
      <c r="J11" s="17">
        <f>AVERAGE(D11:E11,E9)</f>
        <v>37440.570000000007</v>
      </c>
      <c r="K11" s="17" t="s">
        <v>33</v>
      </c>
      <c r="L11" s="17" t="s">
        <v>33</v>
      </c>
      <c r="M11" s="17" t="s">
        <v>33</v>
      </c>
      <c r="N11" s="17" t="s">
        <v>33</v>
      </c>
      <c r="O11" s="17" t="s">
        <v>33</v>
      </c>
      <c r="P11" s="17" t="s">
        <v>33</v>
      </c>
    </row>
    <row r="12" spans="1:16">
      <c r="B12" s="29">
        <v>1988</v>
      </c>
      <c r="C12" s="17"/>
      <c r="D12" s="17">
        <f>AVERAGE(D13:D14,D11)</f>
        <v>30168.744999999995</v>
      </c>
      <c r="E12" s="17">
        <f>AVERAGE(E13:E14,)</f>
        <v>-8219.9466666666322</v>
      </c>
      <c r="F12" s="17">
        <f>AVERAGE(F13:F14,F7)</f>
        <v>9405.983888888848</v>
      </c>
      <c r="G12" s="17">
        <v>-2976</v>
      </c>
      <c r="H12" s="17">
        <f>AVERAGE(G11,H13)</f>
        <v>3421.3500000000058</v>
      </c>
      <c r="I12" s="17">
        <v>325.78000000002794</v>
      </c>
      <c r="J12" s="17" t="s">
        <v>33</v>
      </c>
      <c r="K12" s="17" t="s">
        <v>33</v>
      </c>
      <c r="L12" s="17" t="s">
        <v>33</v>
      </c>
      <c r="M12" s="17" t="s">
        <v>33</v>
      </c>
      <c r="N12" s="17" t="s">
        <v>33</v>
      </c>
      <c r="O12" s="17" t="s">
        <v>33</v>
      </c>
      <c r="P12" s="17" t="s">
        <v>33</v>
      </c>
    </row>
    <row r="13" spans="1:16">
      <c r="B13" s="29">
        <v>1989</v>
      </c>
      <c r="C13" s="17"/>
      <c r="D13" s="17">
        <v>13285.830000000016</v>
      </c>
      <c r="E13" s="17">
        <v>-6360.3699999999953</v>
      </c>
      <c r="F13" s="17">
        <f>AVERAGE(F6:F7)</f>
        <v>11869.474999999977</v>
      </c>
      <c r="G13" s="17">
        <v>-2163.0800000000163</v>
      </c>
      <c r="H13" s="17">
        <v>2611.7000000000116</v>
      </c>
      <c r="I13" s="17" t="s">
        <v>33</v>
      </c>
      <c r="J13" s="17" t="s">
        <v>33</v>
      </c>
      <c r="K13" s="17" t="s">
        <v>33</v>
      </c>
      <c r="L13" s="17" t="s">
        <v>33</v>
      </c>
      <c r="M13" s="17" t="s">
        <v>33</v>
      </c>
      <c r="N13" s="17" t="s">
        <v>33</v>
      </c>
      <c r="O13" s="17" t="s">
        <v>33</v>
      </c>
      <c r="P13" s="17" t="s">
        <v>33</v>
      </c>
    </row>
    <row r="14" spans="1:16">
      <c r="B14" s="29">
        <v>1990</v>
      </c>
      <c r="C14" s="17"/>
      <c r="D14" s="17">
        <f>AVERAGE(D6:D7)</f>
        <v>69034.195000000007</v>
      </c>
      <c r="E14" s="17">
        <v>-18299.469999999899</v>
      </c>
      <c r="F14" s="17">
        <f>AVERAGE(F6:F7,10)</f>
        <v>7916.3166666666511</v>
      </c>
      <c r="G14" s="17">
        <v>621.96999999997206</v>
      </c>
      <c r="H14" s="17" t="s">
        <v>33</v>
      </c>
      <c r="I14" s="17" t="s">
        <v>33</v>
      </c>
      <c r="J14" s="17" t="s">
        <v>33</v>
      </c>
      <c r="K14" s="17" t="s">
        <v>33</v>
      </c>
      <c r="L14" s="17" t="s">
        <v>33</v>
      </c>
      <c r="M14" s="17" t="s">
        <v>33</v>
      </c>
      <c r="N14" s="17" t="s">
        <v>33</v>
      </c>
      <c r="O14" s="17" t="s">
        <v>33</v>
      </c>
      <c r="P14" s="17" t="s">
        <v>33</v>
      </c>
    </row>
    <row r="15" spans="1:16">
      <c r="B15" s="29"/>
      <c r="C15" s="190"/>
      <c r="D15" s="22"/>
      <c r="E15" s="22"/>
      <c r="F15" s="22"/>
      <c r="G15" s="22"/>
      <c r="H15" s="190"/>
      <c r="I15" s="190"/>
      <c r="J15" s="190"/>
      <c r="K15" s="190"/>
      <c r="L15" s="190"/>
      <c r="M15" s="190"/>
      <c r="N15" s="190"/>
      <c r="O15" s="22"/>
      <c r="P15" s="22"/>
    </row>
    <row r="16" spans="1:16" s="24" customFormat="1">
      <c r="B16" s="33" t="s">
        <v>52</v>
      </c>
      <c r="C16" s="1" t="s">
        <v>46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9" s="24" customFormat="1">
      <c r="B17" s="25" t="str">
        <f>B3</f>
        <v>Underwriting</v>
      </c>
      <c r="C17" s="1" t="str">
        <f>C3</f>
        <v>Age in Years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9">
      <c r="B18" s="25" t="str">
        <f>B4</f>
        <v>Year</v>
      </c>
      <c r="C18" s="1">
        <f>C4</f>
        <v>17</v>
      </c>
      <c r="D18" s="1">
        <f t="shared" ref="D18:P18" si="0">D4</f>
        <v>18</v>
      </c>
      <c r="E18" s="1">
        <f t="shared" si="0"/>
        <v>19</v>
      </c>
      <c r="F18" s="1">
        <f t="shared" si="0"/>
        <v>20</v>
      </c>
      <c r="G18" s="1">
        <f t="shared" si="0"/>
        <v>21</v>
      </c>
      <c r="H18" s="1">
        <f t="shared" si="0"/>
        <v>22</v>
      </c>
      <c r="I18" s="1">
        <f t="shared" si="0"/>
        <v>23</v>
      </c>
      <c r="J18" s="1">
        <f t="shared" si="0"/>
        <v>24</v>
      </c>
      <c r="K18" s="1">
        <f t="shared" si="0"/>
        <v>25</v>
      </c>
      <c r="L18" s="1">
        <f t="shared" si="0"/>
        <v>26</v>
      </c>
      <c r="M18" s="1">
        <f t="shared" si="0"/>
        <v>27</v>
      </c>
      <c r="N18" s="1">
        <f t="shared" si="0"/>
        <v>28</v>
      </c>
      <c r="O18" s="1">
        <f t="shared" si="0"/>
        <v>29</v>
      </c>
      <c r="P18" s="1">
        <f t="shared" si="0"/>
        <v>30</v>
      </c>
    </row>
    <row r="19" spans="1:19">
      <c r="B19" s="26">
        <f t="shared" ref="B19:B28" si="1">B5</f>
        <v>1981</v>
      </c>
      <c r="C19" s="17">
        <v>90830.641973516991</v>
      </c>
      <c r="D19" s="17">
        <v>86588.582732483774</v>
      </c>
      <c r="E19" s="17">
        <v>81425.185171913356</v>
      </c>
      <c r="F19" s="17">
        <v>86716.002383544183</v>
      </c>
      <c r="G19" s="17">
        <v>79776.18465386513</v>
      </c>
      <c r="H19" s="17">
        <v>79200.627018271989</v>
      </c>
      <c r="I19" s="17">
        <v>72728.727615419193</v>
      </c>
      <c r="J19" s="17">
        <v>71800.1454598782</v>
      </c>
      <c r="K19" s="17">
        <v>66951.871824844886</v>
      </c>
      <c r="L19" s="17">
        <v>65311.610418671997</v>
      </c>
      <c r="M19" s="17">
        <v>58750.326919572588</v>
      </c>
      <c r="N19" s="17">
        <v>59012.681941444775</v>
      </c>
      <c r="O19" s="17">
        <v>60681.483059791237</v>
      </c>
      <c r="P19" s="17">
        <f>O19*(J19/F19)^0.2</f>
        <v>58433.432918546707</v>
      </c>
    </row>
    <row r="20" spans="1:19">
      <c r="B20" s="26">
        <f t="shared" si="1"/>
        <v>1982</v>
      </c>
      <c r="C20" s="17">
        <v>117743.4321649818</v>
      </c>
      <c r="D20" s="17">
        <v>117169.47277934004</v>
      </c>
      <c r="E20" s="17">
        <v>108526.37907212311</v>
      </c>
      <c r="F20" s="17">
        <v>113914.60316771535</v>
      </c>
      <c r="G20" s="17">
        <v>110578.90624967692</v>
      </c>
      <c r="H20" s="17">
        <v>102906.33516503731</v>
      </c>
      <c r="I20" s="17">
        <v>99854.197002548899</v>
      </c>
      <c r="J20" s="17">
        <v>101024.50086904872</v>
      </c>
      <c r="K20" s="17">
        <v>101633.82113503572</v>
      </c>
      <c r="L20" s="17">
        <v>90509.852203922739</v>
      </c>
      <c r="M20" s="17">
        <v>88877.825761408851</v>
      </c>
      <c r="N20" s="17">
        <v>88711.759168395351</v>
      </c>
      <c r="O20" s="17">
        <v>76137.028156165557</v>
      </c>
      <c r="P20" s="17" t="s">
        <v>33</v>
      </c>
    </row>
    <row r="21" spans="1:19">
      <c r="B21" s="26">
        <f t="shared" si="1"/>
        <v>1983</v>
      </c>
      <c r="C21" s="17">
        <v>102189.87990797986</v>
      </c>
      <c r="D21" s="17">
        <v>104336.14940306221</v>
      </c>
      <c r="E21" s="17">
        <v>122535.22328422168</v>
      </c>
      <c r="F21" s="17">
        <v>123434.26926887997</v>
      </c>
      <c r="G21" s="17">
        <v>115302.9375417586</v>
      </c>
      <c r="H21" s="17">
        <v>92993.132799326646</v>
      </c>
      <c r="I21" s="17">
        <v>91990.132799326602</v>
      </c>
      <c r="J21" s="17">
        <v>91131.239468732907</v>
      </c>
      <c r="K21" s="17">
        <v>90211.672041277096</v>
      </c>
      <c r="L21" s="17">
        <v>90621.039403406801</v>
      </c>
      <c r="M21" s="17">
        <v>89456.071159358704</v>
      </c>
      <c r="N21" s="17">
        <v>86049.947362273204</v>
      </c>
      <c r="O21" s="17" t="s">
        <v>33</v>
      </c>
      <c r="P21" s="17" t="s">
        <v>33</v>
      </c>
    </row>
    <row r="22" spans="1:19">
      <c r="B22" s="26">
        <f t="shared" si="1"/>
        <v>1984</v>
      </c>
      <c r="C22" s="17">
        <v>64705.201525945551</v>
      </c>
      <c r="D22" s="17">
        <v>68066.142050287439</v>
      </c>
      <c r="E22" s="17">
        <v>75828.672536626706</v>
      </c>
      <c r="F22" s="17">
        <v>65151.882000349171</v>
      </c>
      <c r="G22" s="17">
        <v>60379.516175214827</v>
      </c>
      <c r="H22" s="17">
        <v>61977.552884439829</v>
      </c>
      <c r="I22" s="17">
        <f>AVERAGE(I20:I21)</f>
        <v>95922.164900937758</v>
      </c>
      <c r="J22" s="17">
        <f>AVERAGE(J19:J21)</f>
        <v>87985.295265886598</v>
      </c>
      <c r="K22" s="17">
        <v>73314.960153289314</v>
      </c>
      <c r="L22" s="17">
        <v>71912.676543679729</v>
      </c>
      <c r="M22" s="17">
        <f>L22*(K22/I22)^(1/3)</f>
        <v>65750.137218798569</v>
      </c>
      <c r="N22" s="17" t="s">
        <v>33</v>
      </c>
      <c r="O22" s="17" t="s">
        <v>33</v>
      </c>
      <c r="P22" s="17" t="s">
        <v>33</v>
      </c>
    </row>
    <row r="23" spans="1:19">
      <c r="B23" s="26">
        <f t="shared" si="1"/>
        <v>1985</v>
      </c>
      <c r="C23" s="17">
        <v>83228.295795346712</v>
      </c>
      <c r="D23" s="17">
        <v>90266.817987500079</v>
      </c>
      <c r="E23" s="17">
        <v>97720.822260576533</v>
      </c>
      <c r="F23" s="17">
        <v>86165.669162460457</v>
      </c>
      <c r="G23" s="17">
        <v>81136.000022104767</v>
      </c>
      <c r="H23" s="17">
        <f>AVERAGE(H25,H27)</f>
        <v>119876.43250635147</v>
      </c>
      <c r="I23" s="17">
        <v>83790</v>
      </c>
      <c r="J23" s="17">
        <f>AVERAGE(F23:H23)</f>
        <v>95726.033896972236</v>
      </c>
      <c r="K23" s="17">
        <v>78408.694700468506</v>
      </c>
      <c r="L23" s="17">
        <v>77097.011285234199</v>
      </c>
      <c r="M23" s="17" t="s">
        <v>33</v>
      </c>
      <c r="N23" s="17" t="s">
        <v>33</v>
      </c>
      <c r="O23" s="17" t="s">
        <v>33</v>
      </c>
      <c r="P23" s="17" t="s">
        <v>33</v>
      </c>
    </row>
    <row r="24" spans="1:19">
      <c r="B24" s="26">
        <f t="shared" si="1"/>
        <v>1986</v>
      </c>
      <c r="C24" s="17">
        <v>176843.71500948412</v>
      </c>
      <c r="D24" s="17">
        <v>188488.80414368509</v>
      </c>
      <c r="E24" s="17">
        <v>176024.85402518633</v>
      </c>
      <c r="F24" s="17">
        <v>153565.38061960976</v>
      </c>
      <c r="G24" s="17">
        <f>AVERAGE(C24:E24)</f>
        <v>180452.45772611853</v>
      </c>
      <c r="H24" s="17">
        <f>AVERAGE(C24:F24)</f>
        <v>173730.68844949134</v>
      </c>
      <c r="I24" s="17">
        <f>AVERAGE(C24:G24)</f>
        <v>175075.04230481677</v>
      </c>
      <c r="J24" s="17">
        <f>AVERAGE(C24:H24)</f>
        <v>174850.9833289292</v>
      </c>
      <c r="K24" s="17">
        <v>77635.762600140311</v>
      </c>
      <c r="L24" s="17" t="s">
        <v>33</v>
      </c>
      <c r="M24" s="17" t="s">
        <v>33</v>
      </c>
      <c r="N24" s="17" t="s">
        <v>33</v>
      </c>
      <c r="O24" s="17" t="s">
        <v>33</v>
      </c>
      <c r="P24" s="17" t="s">
        <v>33</v>
      </c>
      <c r="R24" s="188"/>
    </row>
    <row r="25" spans="1:19">
      <c r="B25" s="26">
        <f t="shared" si="1"/>
        <v>1987</v>
      </c>
      <c r="C25" s="17">
        <v>161477.2328729408</v>
      </c>
      <c r="D25" s="17">
        <v>123313.80132987282</v>
      </c>
      <c r="E25" s="17">
        <f>AVERAGE(E24,E27:E28)</f>
        <v>143726.05833932789</v>
      </c>
      <c r="F25" s="17">
        <f>AVERAGE(F26:F28)</f>
        <v>129556.70028467166</v>
      </c>
      <c r="G25" s="17">
        <f>AVERAGE(C25:D25)</f>
        <v>142395.51710140682</v>
      </c>
      <c r="H25" s="17">
        <f>AVERAGE(C25:G25)</f>
        <v>140093.86198564401</v>
      </c>
      <c r="I25" s="17">
        <f>AVERAGE(C25:F25)</f>
        <v>139518.44820670329</v>
      </c>
      <c r="J25" s="17">
        <f>AVERAGE(J20:J24,C25:I25)</f>
        <v>127566.63941251142</v>
      </c>
      <c r="K25" s="17" t="s">
        <v>33</v>
      </c>
      <c r="L25" s="17" t="s">
        <v>33</v>
      </c>
      <c r="M25" s="17" t="s">
        <v>33</v>
      </c>
      <c r="N25" s="17" t="s">
        <v>33</v>
      </c>
      <c r="O25" s="17" t="s">
        <v>33</v>
      </c>
      <c r="P25" s="17" t="s">
        <v>33</v>
      </c>
    </row>
    <row r="26" spans="1:19">
      <c r="B26" s="26">
        <f t="shared" si="1"/>
        <v>1988</v>
      </c>
      <c r="C26" s="17">
        <v>133966.20936612907</v>
      </c>
      <c r="D26" s="17">
        <v>134715.06483256319</v>
      </c>
      <c r="E26" s="17">
        <f>AVERAGE(E23:E24)</f>
        <v>136872.83814288143</v>
      </c>
      <c r="F26" s="17">
        <f>AVERAGE(F24,F21)</f>
        <v>138499.82494424487</v>
      </c>
      <c r="G26" s="17">
        <f>AVERAGE(C26:D26)</f>
        <v>134340.63709934615</v>
      </c>
      <c r="H26" s="17">
        <f>AVERAGE(H23:H24)</f>
        <v>146803.56047792139</v>
      </c>
      <c r="I26" s="17">
        <f>AVERAGE(C26:G26)</f>
        <v>135678.91487703295</v>
      </c>
      <c r="J26" s="17" t="s">
        <v>33</v>
      </c>
      <c r="K26" s="17" t="s">
        <v>33</v>
      </c>
      <c r="L26" s="17" t="s">
        <v>33</v>
      </c>
      <c r="M26" s="17" t="s">
        <v>33</v>
      </c>
      <c r="N26" s="17" t="s">
        <v>33</v>
      </c>
      <c r="O26" s="17" t="s">
        <v>33</v>
      </c>
      <c r="P26" s="17" t="s">
        <v>33</v>
      </c>
    </row>
    <row r="27" spans="1:19">
      <c r="B27" s="26">
        <f t="shared" si="1"/>
        <v>1989</v>
      </c>
      <c r="C27" s="17">
        <v>75041.236836659024</v>
      </c>
      <c r="D27" s="17">
        <v>91711.022924877732</v>
      </c>
      <c r="E27" s="17">
        <f>AVERAGE(E28,E23:E24)</f>
        <v>132224.74931964005</v>
      </c>
      <c r="F27" s="17">
        <f>AVERAGE(F24,F20:F21)</f>
        <v>130304.75101873501</v>
      </c>
      <c r="G27" s="17">
        <f>AVERAGE(G20:G21)</f>
        <v>112940.92189571777</v>
      </c>
      <c r="H27" s="17">
        <f>AVERAGE(C27:E27)</f>
        <v>99659.003027058949</v>
      </c>
      <c r="I27" s="17" t="s">
        <v>33</v>
      </c>
      <c r="J27" s="17" t="s">
        <v>33</v>
      </c>
      <c r="K27" s="17" t="s">
        <v>33</v>
      </c>
      <c r="L27" s="17" t="s">
        <v>33</v>
      </c>
      <c r="M27" s="17" t="s">
        <v>33</v>
      </c>
      <c r="N27" s="17" t="s">
        <v>33</v>
      </c>
      <c r="O27" s="17" t="s">
        <v>33</v>
      </c>
      <c r="P27" s="17" t="s">
        <v>33</v>
      </c>
      <c r="R27" s="188"/>
    </row>
    <row r="28" spans="1:19">
      <c r="B28" s="26">
        <f t="shared" si="1"/>
        <v>1990</v>
      </c>
      <c r="C28" s="17">
        <v>118375.09212565998</v>
      </c>
      <c r="D28" s="17">
        <f>AVERAGE(D26:D27)</f>
        <v>113213.04387872046</v>
      </c>
      <c r="E28" s="17">
        <v>122928.57167315726</v>
      </c>
      <c r="F28" s="17">
        <f>AVERAGE(F23:F24)</f>
        <v>119865.52489103511</v>
      </c>
      <c r="G28" s="17">
        <f>AVERAGE(G24,G20:G21)</f>
        <v>135444.76717251801</v>
      </c>
      <c r="H28" s="17" t="s">
        <v>33</v>
      </c>
      <c r="I28" s="17" t="s">
        <v>33</v>
      </c>
      <c r="J28" s="17" t="s">
        <v>33</v>
      </c>
      <c r="K28" s="17" t="s">
        <v>33</v>
      </c>
      <c r="L28" s="17" t="s">
        <v>33</v>
      </c>
      <c r="M28" s="17" t="s">
        <v>33</v>
      </c>
      <c r="N28" s="17" t="s">
        <v>33</v>
      </c>
      <c r="O28" s="17" t="s">
        <v>33</v>
      </c>
      <c r="P28" s="17" t="s">
        <v>33</v>
      </c>
      <c r="S28" s="188"/>
    </row>
    <row r="29" spans="1:19">
      <c r="B29" s="27"/>
    </row>
    <row r="30" spans="1:19" s="24" customFormat="1">
      <c r="A30" s="24" t="s">
        <v>39</v>
      </c>
      <c r="B30" s="32" t="s">
        <v>53</v>
      </c>
      <c r="C30" s="24" t="s">
        <v>38</v>
      </c>
    </row>
    <row r="31" spans="1:19">
      <c r="B31" s="24" t="str">
        <f t="shared" ref="B31:B41" si="2">B17</f>
        <v>Underwriting</v>
      </c>
      <c r="C31" s="24" t="str">
        <f t="shared" ref="C31:C41" si="3">C17</f>
        <v>Age in Years</v>
      </c>
    </row>
    <row r="32" spans="1:19">
      <c r="B32" s="24" t="str">
        <f t="shared" si="2"/>
        <v>Year</v>
      </c>
      <c r="C32" s="197">
        <f t="shared" si="3"/>
        <v>17</v>
      </c>
      <c r="D32" s="197">
        <f t="shared" ref="D32:P32" si="4">D18</f>
        <v>18</v>
      </c>
      <c r="E32" s="197">
        <f t="shared" si="4"/>
        <v>19</v>
      </c>
      <c r="F32" s="197">
        <f t="shared" si="4"/>
        <v>20</v>
      </c>
      <c r="G32" s="197">
        <f t="shared" si="4"/>
        <v>21</v>
      </c>
      <c r="H32" s="197">
        <f t="shared" si="4"/>
        <v>22</v>
      </c>
      <c r="I32" s="197">
        <f t="shared" si="4"/>
        <v>23</v>
      </c>
      <c r="J32" s="197">
        <f t="shared" si="4"/>
        <v>24</v>
      </c>
      <c r="K32" s="197">
        <f t="shared" si="4"/>
        <v>25</v>
      </c>
      <c r="L32" s="197">
        <f t="shared" si="4"/>
        <v>26</v>
      </c>
      <c r="M32" s="197">
        <f t="shared" si="4"/>
        <v>27</v>
      </c>
      <c r="N32" s="197">
        <f t="shared" si="4"/>
        <v>28</v>
      </c>
      <c r="O32" s="197">
        <f t="shared" si="4"/>
        <v>29</v>
      </c>
      <c r="P32" s="197">
        <f t="shared" si="4"/>
        <v>30</v>
      </c>
    </row>
    <row r="33" spans="1:24">
      <c r="B33" s="24">
        <f t="shared" si="2"/>
        <v>1981</v>
      </c>
      <c r="C33" s="209">
        <f t="shared" si="3"/>
        <v>90830.641973516991</v>
      </c>
      <c r="D33" s="209">
        <f>IFERROR(D19+SUM($D5:D5),"")</f>
        <v>108332.18625778997</v>
      </c>
      <c r="E33" s="209">
        <f>IFERROR(E19+SUM($D5:E5),"")</f>
        <v>87517.088697219719</v>
      </c>
      <c r="F33" s="209">
        <f>IFERROR(F19+SUM($D5:F5),"")</f>
        <v>90347.275908850541</v>
      </c>
      <c r="G33" s="209">
        <f>IFERROR(G19+SUM($D5:G5),"")</f>
        <v>166750.59875508994</v>
      </c>
      <c r="H33" s="209">
        <f>IFERROR(H19+SUM($D5:H5),"")</f>
        <v>259963.46111949685</v>
      </c>
      <c r="I33" s="209">
        <f>IFERROR(I19+SUM($D5:I5),"")</f>
        <v>298963.56171664404</v>
      </c>
      <c r="J33" s="209">
        <f>IFERROR(J19+SUM($D5:J5),"")</f>
        <v>306744.15956110309</v>
      </c>
      <c r="K33" s="209">
        <f>IFERROR(K19+SUM($D5:K5),"")</f>
        <v>362595.88592606981</v>
      </c>
      <c r="L33" s="209">
        <f>IFERROR(L19+SUM($D5:L5),"")</f>
        <v>367365.90390698623</v>
      </c>
      <c r="M33" s="209">
        <f>IFERROR(M19+SUM($D5:M5),"")</f>
        <v>425893.23040788685</v>
      </c>
      <c r="N33" s="209">
        <f>IFERROR(N19+SUM($D5:N5),"")</f>
        <v>376532.965429759</v>
      </c>
      <c r="O33" s="209">
        <f>IFERROR(O19+SUM($D5:O5),"")</f>
        <v>426629.31654810556</v>
      </c>
      <c r="P33" s="209">
        <f>IFERROR(P19+SUM($D5:P5),"")</f>
        <v>464167.57640686107</v>
      </c>
    </row>
    <row r="34" spans="1:24">
      <c r="B34" s="24">
        <f t="shared" si="2"/>
        <v>1982</v>
      </c>
      <c r="C34" s="209">
        <f t="shared" si="3"/>
        <v>117743.4321649818</v>
      </c>
      <c r="D34" s="209">
        <f>IFERROR(D20+SUM($D6:D6),"")</f>
        <v>235107.98277934006</v>
      </c>
      <c r="E34" s="209">
        <f>IFERROR(E20+SUM($D6:E6),"")</f>
        <v>228022.42907212314</v>
      </c>
      <c r="F34" s="209">
        <f>IFERROR(F20+SUM($D6:F6),"")</f>
        <v>248717.44316771545</v>
      </c>
      <c r="G34" s="209">
        <f>IFERROR(G20+SUM($D6:G6),"")</f>
        <v>349713.54624967708</v>
      </c>
      <c r="H34" s="209">
        <f>IFERROR(H20+SUM($D6:H6),"")</f>
        <v>416396.36414268852</v>
      </c>
      <c r="I34" s="209">
        <f>IFERROR(I20+SUM($D6:I6),"")</f>
        <v>402367.93598020007</v>
      </c>
      <c r="J34" s="209">
        <f>IFERROR(J20+SUM($D6:J6),"")</f>
        <v>432164.2698466999</v>
      </c>
      <c r="K34" s="209">
        <f>IFERROR(K20+SUM($D6:K6),"")</f>
        <v>504734.7001126869</v>
      </c>
      <c r="L34" s="209">
        <f>IFERROR(L20+SUM($D6:L6),"")</f>
        <v>524896.26118157397</v>
      </c>
      <c r="M34" s="209">
        <f>IFERROR(M20+SUM($D6:M6),"")</f>
        <v>472728.03473906009</v>
      </c>
      <c r="N34" s="209">
        <f>IFERROR(N20+SUM($D6:N6),"")</f>
        <v>553625.61814604653</v>
      </c>
      <c r="O34" s="209">
        <f>IFERROR(O20+SUM($D6:O6),"")</f>
        <v>546434.05713381665</v>
      </c>
      <c r="P34" s="209" t="str">
        <f>IFERROR(P20+SUM($D6:P6),"")</f>
        <v/>
      </c>
    </row>
    <row r="35" spans="1:24">
      <c r="B35" s="24">
        <f t="shared" si="2"/>
        <v>1983</v>
      </c>
      <c r="C35" s="209">
        <f t="shared" si="3"/>
        <v>102189.87990797986</v>
      </c>
      <c r="D35" s="209">
        <f>IFERROR(D21+SUM($D7:D7),"")</f>
        <v>124466.02940306222</v>
      </c>
      <c r="E35" s="209">
        <f>IFERROR(E21+SUM($D7:E7),"")</f>
        <v>313354.37328422169</v>
      </c>
      <c r="F35" s="209">
        <f>IFERROR(F21+SUM($D7:F7),"")</f>
        <v>322685.5792688799</v>
      </c>
      <c r="G35" s="209">
        <f>IFERROR(G21+SUM($D7:G7),"")</f>
        <v>238290.41754175845</v>
      </c>
      <c r="H35" s="209">
        <f>IFERROR(H21+SUM($D7:H7),"")</f>
        <v>6736.7627993265342</v>
      </c>
      <c r="I35" s="209">
        <f>IFERROR(I21+SUM($D7:I7),"")</f>
        <v>41401.76279932649</v>
      </c>
      <c r="J35" s="209">
        <f>IFERROR(J21+SUM($D7:J7),"")</f>
        <v>15548.409468732832</v>
      </c>
      <c r="K35" s="209">
        <f>IFERROR(K21+SUM($D7:K7),"")</f>
        <v>15383.562041276993</v>
      </c>
      <c r="L35" s="209">
        <f>IFERROR(L21+SUM($D7:L7),"")</f>
        <v>19632.389403406662</v>
      </c>
      <c r="M35" s="209">
        <f>IFERROR(M21+SUM($D7:M7),"")</f>
        <v>26299.191159358583</v>
      </c>
      <c r="N35" s="209">
        <f>IFERROR(N21+SUM($D7:N7),"")</f>
        <v>28463.037362273055</v>
      </c>
      <c r="O35" s="209" t="str">
        <f>IFERROR(O21+SUM($D7:O7),"")</f>
        <v/>
      </c>
      <c r="P35" s="209" t="str">
        <f>IFERROR(P21+SUM($D7:P7),"")</f>
        <v/>
      </c>
    </row>
    <row r="36" spans="1:24">
      <c r="B36" s="24">
        <f t="shared" si="2"/>
        <v>1984</v>
      </c>
      <c r="C36" s="209">
        <f t="shared" si="3"/>
        <v>64705.201525945551</v>
      </c>
      <c r="D36" s="209">
        <f>IFERROR(D22+SUM($D8:D8),"")</f>
        <v>99588.432050287476</v>
      </c>
      <c r="E36" s="209">
        <f>IFERROR(E22+SUM($D8:E8),"")</f>
        <v>180155.8025366267</v>
      </c>
      <c r="F36" s="209">
        <f>IFERROR(F22+SUM($D8:F8),"")</f>
        <v>69341.302000349213</v>
      </c>
      <c r="G36" s="209">
        <f>IFERROR(G22+SUM($D8:G8),"")</f>
        <v>19808.876175214929</v>
      </c>
      <c r="H36" s="209">
        <f>IFERROR(H22+SUM($D8:H8),"")</f>
        <v>36394.912884439931</v>
      </c>
      <c r="I36" s="209">
        <f>IFERROR(I22+SUM($D8:I8),"")</f>
        <v>109220.80490093789</v>
      </c>
      <c r="J36" s="209">
        <f>IFERROR(J22+SUM($D8:J8),"")</f>
        <v>104320.34193255342</v>
      </c>
      <c r="K36" s="209">
        <f>IFERROR(K22+SUM($D8:K8),"")</f>
        <v>173341.37681995612</v>
      </c>
      <c r="L36" s="209">
        <f>IFERROR(L22+SUM($D8:L8),"")</f>
        <v>158787.0632103465</v>
      </c>
      <c r="M36" s="209">
        <f>IFERROR(M22+SUM($D8:M8),"")</f>
        <v>243551.1038854653</v>
      </c>
      <c r="N36" s="209" t="str">
        <f>IFERROR(N22+SUM($D8:N8),"")</f>
        <v/>
      </c>
      <c r="O36" s="209" t="str">
        <f>IFERROR(O22+SUM($D8:O8),"")</f>
        <v/>
      </c>
      <c r="P36" s="209" t="str">
        <f>IFERROR(P22+SUM($D8:P8),"")</f>
        <v/>
      </c>
    </row>
    <row r="37" spans="1:24">
      <c r="B37" s="24">
        <f t="shared" si="2"/>
        <v>1985</v>
      </c>
      <c r="C37" s="209">
        <f t="shared" si="3"/>
        <v>83228.295795346712</v>
      </c>
      <c r="D37" s="209">
        <f>IFERROR(D23+SUM($D9:D9),"")</f>
        <v>156281.17798750006</v>
      </c>
      <c r="E37" s="209">
        <f>IFERROR(E23+SUM($D9:E9),"")</f>
        <v>233646.35226057656</v>
      </c>
      <c r="F37" s="209">
        <f>IFERROR(F23+SUM($D9:F9),"")</f>
        <v>229183.9724957938</v>
      </c>
      <c r="G37" s="209">
        <f>IFERROR(G23+SUM($D9:G9),"")</f>
        <v>176980.99335543806</v>
      </c>
      <c r="H37" s="209">
        <f>IFERROR(H23+SUM($D9:H9),"")</f>
        <v>220315.21181190698</v>
      </c>
      <c r="I37" s="209">
        <f>IFERROR(I23+SUM($D9:I9),"")</f>
        <v>166657.47930555546</v>
      </c>
      <c r="J37" s="209">
        <f>IFERROR(J23+SUM($D9:J9),"")</f>
        <v>171454.52320252772</v>
      </c>
      <c r="K37" s="209">
        <f>IFERROR(K23+SUM($D9:K9),"")</f>
        <v>155883.18400602398</v>
      </c>
      <c r="L37" s="209">
        <f>IFERROR(L23+SUM($D9:L9),"")</f>
        <v>142269.21059078962</v>
      </c>
      <c r="M37" s="209" t="str">
        <f>IFERROR(M23+SUM($D9:M9),"")</f>
        <v/>
      </c>
      <c r="N37" s="209" t="str">
        <f>IFERROR(N23+SUM($D9:N9),"")</f>
        <v/>
      </c>
      <c r="O37" s="209" t="str">
        <f>IFERROR(O23+SUM($D9:O9),"")</f>
        <v/>
      </c>
      <c r="P37" s="209" t="str">
        <f>IFERROR(P23+SUM($D9:P9),"")</f>
        <v/>
      </c>
    </row>
    <row r="38" spans="1:24">
      <c r="B38" s="24">
        <f t="shared" si="2"/>
        <v>1986</v>
      </c>
      <c r="C38" s="209">
        <f t="shared" si="3"/>
        <v>176843.71500948412</v>
      </c>
      <c r="D38" s="209">
        <f>IFERROR(D24+SUM($D10:D10),"")</f>
        <v>186874.24414368509</v>
      </c>
      <c r="E38" s="209">
        <f>IFERROR(E24+SUM($D10:E10),"")</f>
        <v>172947.78402518632</v>
      </c>
      <c r="F38" s="209">
        <f>IFERROR(F24+SUM($D10:F10),"")</f>
        <v>166641.70561960977</v>
      </c>
      <c r="G38" s="209">
        <f>IFERROR(G24+SUM($D10:G10),"")</f>
        <v>194562.74272611854</v>
      </c>
      <c r="H38" s="209">
        <f>IFERROR(H24+SUM($D10:H10),"")</f>
        <v>191774.06409763949</v>
      </c>
      <c r="I38" s="209">
        <f>IFERROR(I24+SUM($D10:I10),"")</f>
        <v>186371.77795296491</v>
      </c>
      <c r="J38" s="209">
        <f>IFERROR(J24+SUM($D10:J10),"")</f>
        <v>187744.53897707735</v>
      </c>
      <c r="K38" s="209">
        <f>IFERROR(K24+SUM($D10:K10),"")</f>
        <v>82250.26824828847</v>
      </c>
      <c r="L38" s="209" t="str">
        <f>IFERROR(L24+SUM($D10:L10),"")</f>
        <v/>
      </c>
      <c r="M38" s="209" t="str">
        <f>IFERROR(M24+SUM($D10:M10),"")</f>
        <v/>
      </c>
      <c r="N38" s="209" t="str">
        <f>IFERROR(N24+SUM($D10:N10),"")</f>
        <v/>
      </c>
      <c r="O38" s="209" t="str">
        <f>IFERROR(O24+SUM($D10:O10),"")</f>
        <v/>
      </c>
      <c r="P38" s="209" t="str">
        <f>IFERROR(P24+SUM($D10:P10),"")</f>
        <v/>
      </c>
    </row>
    <row r="39" spans="1:24">
      <c r="B39" s="24">
        <f t="shared" si="2"/>
        <v>1987</v>
      </c>
      <c r="C39" s="209">
        <f t="shared" si="3"/>
        <v>161477.2328729408</v>
      </c>
      <c r="D39" s="209">
        <f>IFERROR(D25+SUM($D11:D11),"")</f>
        <v>131500.01132987277</v>
      </c>
      <c r="E39" s="209">
        <f>IFERROR(E25+SUM($D11:E11),"")</f>
        <v>186136.59833932787</v>
      </c>
      <c r="F39" s="209">
        <f>IFERROR(F25+SUM($D11:F11),"")</f>
        <v>179268.68417356053</v>
      </c>
      <c r="G39" s="209">
        <f>IFERROR(G25+SUM($D11:G11),"")</f>
        <v>196338.50099029567</v>
      </c>
      <c r="H39" s="209">
        <f>IFERROR(H25+SUM($D11:H11),"")</f>
        <v>199803.06781897729</v>
      </c>
      <c r="I39" s="209">
        <f>IFERROR(I25+SUM($D11:I11),"")</f>
        <v>199647.89404003657</v>
      </c>
      <c r="J39" s="209">
        <f>IFERROR(J25+SUM($D11:J11),"")</f>
        <v>225136.65524584468</v>
      </c>
      <c r="K39" s="209" t="str">
        <f>IFERROR(K25+SUM($D11:K11),"")</f>
        <v/>
      </c>
      <c r="L39" s="209" t="str">
        <f>IFERROR(L25+SUM($D11:L11),"")</f>
        <v/>
      </c>
      <c r="M39" s="209" t="str">
        <f>IFERROR(M25+SUM($D11:M11),"")</f>
        <v/>
      </c>
      <c r="N39" s="209" t="str">
        <f>IFERROR(N25+SUM($D11:N11),"")</f>
        <v/>
      </c>
      <c r="O39" s="209" t="str">
        <f>IFERROR(O25+SUM($D11:O11),"")</f>
        <v/>
      </c>
      <c r="P39" s="209" t="str">
        <f>IFERROR(P25+SUM($D11:P11),"")</f>
        <v/>
      </c>
    </row>
    <row r="40" spans="1:24">
      <c r="B40" s="24">
        <f t="shared" si="2"/>
        <v>1988</v>
      </c>
      <c r="C40" s="209">
        <f t="shared" si="3"/>
        <v>133966.20936612907</v>
      </c>
      <c r="D40" s="209">
        <f>IFERROR(D26+SUM($D12:D12),"")</f>
        <v>164883.80983256319</v>
      </c>
      <c r="E40" s="209">
        <f>IFERROR(E26+SUM($D12:E12),"")</f>
        <v>158821.6364762148</v>
      </c>
      <c r="F40" s="209">
        <f>IFERROR(F26+SUM($D12:F12),"")</f>
        <v>169854.60716646709</v>
      </c>
      <c r="G40" s="209">
        <f>IFERROR(G26+SUM($D12:G12),"")</f>
        <v>162719.41932156836</v>
      </c>
      <c r="H40" s="209">
        <f>IFERROR(H26+SUM($D12:H12),"")</f>
        <v>178603.69270014361</v>
      </c>
      <c r="I40" s="209">
        <f>IFERROR(I26+SUM($D12:I12),"")</f>
        <v>167804.8270992552</v>
      </c>
      <c r="J40" s="209" t="str">
        <f>IFERROR(J26+SUM($D12:J12),"")</f>
        <v/>
      </c>
      <c r="K40" s="209" t="str">
        <f>IFERROR(K26+SUM($D12:K12),"")</f>
        <v/>
      </c>
      <c r="L40" s="209" t="str">
        <f>IFERROR(L26+SUM($D12:L12),"")</f>
        <v/>
      </c>
      <c r="M40" s="209" t="str">
        <f>IFERROR(M26+SUM($D12:M12),"")</f>
        <v/>
      </c>
      <c r="N40" s="209" t="str">
        <f>IFERROR(N26+SUM($D12:N12),"")</f>
        <v/>
      </c>
      <c r="O40" s="209" t="str">
        <f>IFERROR(O26+SUM($D12:O12),"")</f>
        <v/>
      </c>
      <c r="P40" s="209" t="str">
        <f>IFERROR(P26+SUM($D12:P12),"")</f>
        <v/>
      </c>
      <c r="T40" t="s">
        <v>222</v>
      </c>
      <c r="U40" s="208" t="s">
        <v>223</v>
      </c>
    </row>
    <row r="41" spans="1:24">
      <c r="B41" s="24">
        <f t="shared" si="2"/>
        <v>1989</v>
      </c>
      <c r="C41" s="209">
        <f t="shared" si="3"/>
        <v>75041.236836659024</v>
      </c>
      <c r="D41" s="209">
        <f>IFERROR(D27+SUM($D13:D13),"")</f>
        <v>104996.85292487775</v>
      </c>
      <c r="E41" s="209">
        <f>IFERROR(E27+SUM($D13:E13),"")</f>
        <v>139150.20931964007</v>
      </c>
      <c r="F41" s="209">
        <f>IFERROR(F27+SUM($D13:F13),"")</f>
        <v>149099.686018735</v>
      </c>
      <c r="G41" s="209">
        <f>IFERROR(G27+SUM($D13:G13),"")</f>
        <v>129572.77689571775</v>
      </c>
      <c r="H41" s="209">
        <f>IFERROR(H27+SUM($D13:H13),"")</f>
        <v>118902.55802705894</v>
      </c>
      <c r="I41" s="209" t="str">
        <f>IFERROR(I27+SUM($D13:I13),"")</f>
        <v/>
      </c>
      <c r="J41" s="209" t="str">
        <f>IFERROR(J27+SUM($D13:J13),"")</f>
        <v/>
      </c>
      <c r="K41" s="209" t="str">
        <f>IFERROR(K27+SUM($D13:K13),"")</f>
        <v/>
      </c>
      <c r="L41" s="209" t="str">
        <f>IFERROR(L27+SUM($D13:L13),"")</f>
        <v/>
      </c>
      <c r="M41" s="209" t="str">
        <f>IFERROR(M27+SUM($D13:M13),"")</f>
        <v/>
      </c>
      <c r="N41" s="209" t="str">
        <f>IFERROR(N27+SUM($D13:N13),"")</f>
        <v/>
      </c>
      <c r="O41" s="209" t="str">
        <f>IFERROR(O27+SUM($D13:O13),"")</f>
        <v/>
      </c>
      <c r="P41" s="209" t="str">
        <f>IFERROR(P27+SUM($D13:P13),"")</f>
        <v/>
      </c>
      <c r="T41">
        <v>348</v>
      </c>
      <c r="U41" s="208" t="s">
        <v>221</v>
      </c>
    </row>
    <row r="42" spans="1:24">
      <c r="B42" s="24">
        <f>B28</f>
        <v>1990</v>
      </c>
      <c r="C42" s="209">
        <f t="shared" ref="C42" si="5">C28</f>
        <v>118375.09212565998</v>
      </c>
      <c r="D42" s="209">
        <f>IFERROR(D28+SUM($D14:D14),"")</f>
        <v>182247.23887872047</v>
      </c>
      <c r="E42" s="209">
        <f>IFERROR(E28+SUM($D14:E14),"")</f>
        <v>173663.29667315737</v>
      </c>
      <c r="F42" s="209">
        <f>IFERROR(F28+SUM($D14:F14),"")</f>
        <v>178516.56655770185</v>
      </c>
      <c r="G42" s="209">
        <f>IFERROR(G28+SUM($D14:G14),"")</f>
        <v>194717.77883918473</v>
      </c>
      <c r="H42" s="209" t="str">
        <f>IFERROR(H28+SUM($D14:H14),"")</f>
        <v/>
      </c>
      <c r="I42" s="209" t="str">
        <f>IFERROR(I28+SUM($D14:I14),"")</f>
        <v/>
      </c>
      <c r="J42" s="209" t="str">
        <f>IFERROR(J28+SUM($D14:J14),"")</f>
        <v/>
      </c>
      <c r="K42" s="209" t="str">
        <f>IFERROR(K28+SUM($D14:K14),"")</f>
        <v/>
      </c>
      <c r="L42" s="209" t="str">
        <f>IFERROR(L28+SUM($D14:L14),"")</f>
        <v/>
      </c>
      <c r="M42" s="209" t="str">
        <f>IFERROR(M28+SUM($D14:M14),"")</f>
        <v/>
      </c>
      <c r="N42" s="209" t="str">
        <f>IFERROR(N28+SUM($D14:N14),"")</f>
        <v/>
      </c>
      <c r="O42" s="209" t="str">
        <f>IFERROR(O28+SUM($D14:O14),"")</f>
        <v/>
      </c>
      <c r="P42" s="209" t="str">
        <f>IFERROR(P28+SUM($D14:P14),"")</f>
        <v/>
      </c>
    </row>
    <row r="43" spans="1:24">
      <c r="B43" s="24"/>
      <c r="T43">
        <v>216</v>
      </c>
      <c r="U43" s="208" t="s">
        <v>224</v>
      </c>
    </row>
    <row r="44" spans="1:24" s="24" customFormat="1">
      <c r="A44" s="24" t="s">
        <v>40</v>
      </c>
      <c r="B44" s="32" t="s">
        <v>54</v>
      </c>
      <c r="C44" s="24" t="s">
        <v>41</v>
      </c>
    </row>
    <row r="45" spans="1:24">
      <c r="B45" s="24" t="str">
        <f>B31</f>
        <v>Underwriting</v>
      </c>
      <c r="C45" s="24" t="str">
        <f>C31</f>
        <v>Age in Years</v>
      </c>
    </row>
    <row r="46" spans="1:24" s="24" customFormat="1" ht="18">
      <c r="B46" s="24" t="str">
        <f>B32</f>
        <v>Year</v>
      </c>
      <c r="C46" s="24" t="str">
        <f>D32&amp;"/"&amp;C32</f>
        <v>18/17</v>
      </c>
      <c r="D46" s="24" t="str">
        <f t="shared" ref="D46:O46" si="6">E32&amp;"/"&amp;D32</f>
        <v>19/18</v>
      </c>
      <c r="E46" s="24" t="str">
        <f t="shared" si="6"/>
        <v>20/19</v>
      </c>
      <c r="F46" s="24" t="str">
        <f t="shared" si="6"/>
        <v>21/20</v>
      </c>
      <c r="G46" s="24" t="str">
        <f t="shared" si="6"/>
        <v>22/21</v>
      </c>
      <c r="H46" s="24" t="str">
        <f t="shared" si="6"/>
        <v>23/22</v>
      </c>
      <c r="I46" s="24" t="str">
        <f t="shared" si="6"/>
        <v>24/23</v>
      </c>
      <c r="J46" s="24" t="str">
        <f t="shared" si="6"/>
        <v>25/24</v>
      </c>
      <c r="K46" s="24" t="str">
        <f t="shared" si="6"/>
        <v>26/25</v>
      </c>
      <c r="L46" s="24" t="str">
        <f t="shared" si="6"/>
        <v>27/26</v>
      </c>
      <c r="M46" s="24" t="str">
        <f t="shared" si="6"/>
        <v>28/27</v>
      </c>
      <c r="N46" s="24" t="str">
        <f t="shared" si="6"/>
        <v>29/28</v>
      </c>
      <c r="O46" s="24" t="str">
        <f t="shared" si="6"/>
        <v>30/29</v>
      </c>
      <c r="Q46" s="182"/>
      <c r="R46" s="182"/>
      <c r="S46" s="183" t="s">
        <v>158</v>
      </c>
      <c r="T46" s="182"/>
      <c r="U46" s="182"/>
      <c r="V46" s="182"/>
      <c r="X46"/>
    </row>
    <row r="47" spans="1:24">
      <c r="B47" s="24">
        <f t="shared" ref="B47:B56" si="7">B33</f>
        <v>1981</v>
      </c>
      <c r="C47" s="31">
        <f>IFERROR(D33/C33,"")</f>
        <v>1.1926832608909206</v>
      </c>
      <c r="D47" s="31">
        <f t="shared" ref="D47:O47" si="8">IFERROR(E33/D33,"")</f>
        <v>0.80785860343445737</v>
      </c>
      <c r="E47" s="31">
        <f t="shared" si="8"/>
        <v>1.0323386809794637</v>
      </c>
      <c r="F47" s="31">
        <f t="shared" si="8"/>
        <v>1.845662717305623</v>
      </c>
      <c r="G47" s="31">
        <f t="shared" si="8"/>
        <v>1.5589956681433603</v>
      </c>
      <c r="H47" s="31">
        <f t="shared" si="8"/>
        <v>1.1500214700527476</v>
      </c>
      <c r="I47" s="31">
        <f t="shared" si="8"/>
        <v>1.0260252379914896</v>
      </c>
      <c r="J47" s="31">
        <f t="shared" si="8"/>
        <v>1.1820791843107321</v>
      </c>
      <c r="K47" s="31">
        <f t="shared" si="8"/>
        <v>1.0131551905745808</v>
      </c>
      <c r="L47" s="31">
        <f t="shared" si="8"/>
        <v>1.1593161637442522</v>
      </c>
      <c r="M47" s="31">
        <f t="shared" si="8"/>
        <v>0.8841017854854033</v>
      </c>
      <c r="N47" s="31">
        <f t="shared" si="8"/>
        <v>1.1330463882788289</v>
      </c>
      <c r="O47" s="31">
        <f t="shared" si="8"/>
        <v>1.087987998955348</v>
      </c>
      <c r="Q47" s="167"/>
      <c r="R47" s="167"/>
      <c r="S47" s="168"/>
      <c r="T47" s="167"/>
      <c r="U47" s="169"/>
      <c r="V47" s="167"/>
    </row>
    <row r="48" spans="1:24">
      <c r="B48" s="24">
        <f t="shared" si="7"/>
        <v>1982</v>
      </c>
      <c r="C48" s="31">
        <f t="shared" ref="C48:O56" si="9">IFERROR(D34/C34,"")</f>
        <v>1.9967821428027284</v>
      </c>
      <c r="D48" s="31">
        <f t="shared" si="9"/>
        <v>0.96986255582028857</v>
      </c>
      <c r="E48" s="31">
        <f t="shared" si="9"/>
        <v>1.090758677467849</v>
      </c>
      <c r="F48" s="31">
        <f t="shared" si="9"/>
        <v>1.4060676315889022</v>
      </c>
      <c r="G48" s="31">
        <f t="shared" si="9"/>
        <v>1.1906783955271878</v>
      </c>
      <c r="H48" s="31">
        <f t="shared" si="9"/>
        <v>0.96630991677515887</v>
      </c>
      <c r="I48" s="31">
        <f t="shared" si="9"/>
        <v>1.0740524559789129</v>
      </c>
      <c r="J48" s="31">
        <f t="shared" si="9"/>
        <v>1.1679232535621922</v>
      </c>
      <c r="K48" s="31">
        <f t="shared" si="9"/>
        <v>1.0399448681938963</v>
      </c>
      <c r="L48" s="31">
        <f t="shared" si="9"/>
        <v>0.90061231084961446</v>
      </c>
      <c r="M48" s="31">
        <f t="shared" si="9"/>
        <v>1.1711292275095149</v>
      </c>
      <c r="N48" s="31">
        <f t="shared" si="9"/>
        <v>0.98701006460591068</v>
      </c>
      <c r="O48" s="31" t="str">
        <f t="shared" si="9"/>
        <v/>
      </c>
      <c r="Q48" s="167"/>
      <c r="R48" s="170" t="s">
        <v>198</v>
      </c>
      <c r="S48" s="171" t="s">
        <v>219</v>
      </c>
      <c r="T48" s="172">
        <f>12*C4</f>
        <v>204</v>
      </c>
      <c r="U48" s="173">
        <f>HLOOKUP($T48,'2) DB Reinsr Loss Dev Benchmks.'!$C$13:$AP$16,3,FALSE)</f>
        <v>1.0913275444491271</v>
      </c>
      <c r="V48" s="167"/>
    </row>
    <row r="49" spans="1:22">
      <c r="B49" s="24">
        <f t="shared" si="7"/>
        <v>1983</v>
      </c>
      <c r="C49" s="31">
        <f t="shared" si="9"/>
        <v>1.2179878234042512</v>
      </c>
      <c r="D49" s="31">
        <f t="shared" si="9"/>
        <v>2.5175895365752887</v>
      </c>
      <c r="E49" s="31">
        <f t="shared" si="9"/>
        <v>1.0297784450456497</v>
      </c>
      <c r="F49" s="31">
        <f t="shared" si="9"/>
        <v>0.73846007646719591</v>
      </c>
      <c r="G49" s="31">
        <f t="shared" si="9"/>
        <v>2.8271228313853501E-2</v>
      </c>
      <c r="H49" s="31">
        <f t="shared" si="9"/>
        <v>6.1456465119219237</v>
      </c>
      <c r="I49" s="31">
        <f t="shared" si="9"/>
        <v>0.37554945532381456</v>
      </c>
      <c r="J49" s="31">
        <f t="shared" si="9"/>
        <v>0.98939779481706214</v>
      </c>
      <c r="K49" s="31">
        <f t="shared" si="9"/>
        <v>1.2761926887107982</v>
      </c>
      <c r="L49" s="31">
        <f t="shared" si="9"/>
        <v>1.3395817808501231</v>
      </c>
      <c r="M49" s="31">
        <f t="shared" si="9"/>
        <v>1.0822780514352233</v>
      </c>
      <c r="N49" s="31" t="str">
        <f t="shared" si="9"/>
        <v/>
      </c>
      <c r="O49" s="31" t="str">
        <f t="shared" si="9"/>
        <v/>
      </c>
      <c r="Q49" s="167"/>
      <c r="R49" s="174" t="s">
        <v>197</v>
      </c>
      <c r="S49" s="178" t="s">
        <v>219</v>
      </c>
      <c r="T49" s="176">
        <f>O4*12</f>
        <v>348</v>
      </c>
      <c r="U49" s="177">
        <f>HLOOKUP($T49,'2) DB Reinsr Loss Dev Benchmks.'!$C$13:$AP$16,3,FALSE)</f>
        <v>1.0519859826842681</v>
      </c>
      <c r="V49" s="167"/>
    </row>
    <row r="50" spans="1:22">
      <c r="B50" s="24">
        <f t="shared" si="7"/>
        <v>1984</v>
      </c>
      <c r="C50" s="31">
        <f t="shared" si="9"/>
        <v>1.5391101441876263</v>
      </c>
      <c r="D50" s="31">
        <f t="shared" si="9"/>
        <v>1.8090033031713613</v>
      </c>
      <c r="E50" s="31">
        <f t="shared" si="9"/>
        <v>0.38489630100174949</v>
      </c>
      <c r="F50" s="31">
        <f t="shared" si="9"/>
        <v>0.28567211176846907</v>
      </c>
      <c r="G50" s="31">
        <f t="shared" si="9"/>
        <v>1.8373032655925035</v>
      </c>
      <c r="H50" s="31">
        <f t="shared" si="9"/>
        <v>3.0009909694723715</v>
      </c>
      <c r="I50" s="31">
        <f t="shared" si="9"/>
        <v>0.95513251369252283</v>
      </c>
      <c r="J50" s="31">
        <f t="shared" si="9"/>
        <v>1.661625849846496</v>
      </c>
      <c r="K50" s="31">
        <f t="shared" si="9"/>
        <v>0.91603670239260482</v>
      </c>
      <c r="L50" s="31">
        <f t="shared" si="9"/>
        <v>1.5338220819842936</v>
      </c>
      <c r="M50" s="31" t="str">
        <f t="shared" si="9"/>
        <v/>
      </c>
      <c r="N50" s="31" t="str">
        <f t="shared" si="9"/>
        <v/>
      </c>
      <c r="O50" s="31" t="str">
        <f t="shared" si="9"/>
        <v/>
      </c>
      <c r="Q50" s="167"/>
      <c r="R50" s="174" t="s">
        <v>196</v>
      </c>
      <c r="S50" s="175" t="s">
        <v>200</v>
      </c>
      <c r="T50" s="178" t="s">
        <v>159</v>
      </c>
      <c r="U50" s="177">
        <f>(1/U49-1/U48)</f>
        <v>3.4267823917561113E-2</v>
      </c>
      <c r="V50" s="167"/>
    </row>
    <row r="51" spans="1:22">
      <c r="B51" s="24">
        <f t="shared" si="7"/>
        <v>1985</v>
      </c>
      <c r="C51" s="31">
        <f t="shared" si="9"/>
        <v>1.8777409352678074</v>
      </c>
      <c r="D51" s="31">
        <f t="shared" si="9"/>
        <v>1.4950383358337909</v>
      </c>
      <c r="E51" s="31">
        <f t="shared" si="9"/>
        <v>0.98090113660406719</v>
      </c>
      <c r="F51" s="31">
        <f t="shared" si="9"/>
        <v>0.77222238286617606</v>
      </c>
      <c r="G51" s="31">
        <f t="shared" si="9"/>
        <v>1.2448523857555656</v>
      </c>
      <c r="H51" s="31">
        <f t="shared" si="9"/>
        <v>0.75645016944103916</v>
      </c>
      <c r="I51" s="31">
        <f t="shared" si="9"/>
        <v>1.0287838500675821</v>
      </c>
      <c r="J51" s="31">
        <f t="shared" si="9"/>
        <v>0.90918093669590527</v>
      </c>
      <c r="K51" s="31">
        <f t="shared" si="9"/>
        <v>0.91266554181554149</v>
      </c>
      <c r="L51" s="31" t="str">
        <f t="shared" si="9"/>
        <v/>
      </c>
      <c r="M51" s="31" t="str">
        <f t="shared" si="9"/>
        <v/>
      </c>
      <c r="N51" s="31" t="str">
        <f t="shared" si="9"/>
        <v/>
      </c>
      <c r="O51" s="31" t="str">
        <f t="shared" si="9"/>
        <v/>
      </c>
      <c r="Q51" s="167"/>
      <c r="R51" s="174" t="s">
        <v>199</v>
      </c>
      <c r="S51" s="176" t="s">
        <v>201</v>
      </c>
      <c r="T51" s="179" t="s">
        <v>160</v>
      </c>
      <c r="U51" s="177">
        <f>1-1/U49</f>
        <v>4.9416991804034915E-2</v>
      </c>
      <c r="V51" s="167"/>
    </row>
    <row r="52" spans="1:22">
      <c r="B52" s="24">
        <f t="shared" si="7"/>
        <v>1986</v>
      </c>
      <c r="C52" s="31">
        <f t="shared" si="9"/>
        <v>1.056719737728101</v>
      </c>
      <c r="D52" s="31">
        <f t="shared" si="9"/>
        <v>0.9254768350645961</v>
      </c>
      <c r="E52" s="31">
        <f t="shared" si="9"/>
        <v>0.96353767444248839</v>
      </c>
      <c r="F52" s="31">
        <f t="shared" si="9"/>
        <v>1.1675513161767779</v>
      </c>
      <c r="G52" s="31">
        <f t="shared" si="9"/>
        <v>0.98566694430081814</v>
      </c>
      <c r="H52" s="31">
        <f t="shared" si="9"/>
        <v>0.97182994389729327</v>
      </c>
      <c r="I52" s="31">
        <f t="shared" si="9"/>
        <v>1.0073657129807436</v>
      </c>
      <c r="J52" s="31">
        <f t="shared" si="9"/>
        <v>0.43809672812017614</v>
      </c>
      <c r="K52" s="31" t="str">
        <f t="shared" si="9"/>
        <v/>
      </c>
      <c r="L52" s="31" t="str">
        <f t="shared" si="9"/>
        <v/>
      </c>
      <c r="M52" s="31" t="str">
        <f t="shared" si="9"/>
        <v/>
      </c>
      <c r="N52" s="31" t="str">
        <f t="shared" si="9"/>
        <v/>
      </c>
      <c r="O52" s="31" t="str">
        <f t="shared" si="9"/>
        <v/>
      </c>
      <c r="Q52" s="167"/>
      <c r="R52" s="180" t="s">
        <v>202</v>
      </c>
      <c r="S52" s="176" t="s">
        <v>203</v>
      </c>
      <c r="T52" s="179" t="s">
        <v>161</v>
      </c>
      <c r="U52" s="177">
        <f>U51/U50</f>
        <v>1.442081409164425</v>
      </c>
      <c r="V52" s="167"/>
    </row>
    <row r="53" spans="1:22">
      <c r="B53" s="24">
        <f t="shared" si="7"/>
        <v>1987</v>
      </c>
      <c r="C53" s="31">
        <f t="shared" si="9"/>
        <v>0.81435635841830556</v>
      </c>
      <c r="D53" s="31">
        <f t="shared" si="9"/>
        <v>1.4154873178862104</v>
      </c>
      <c r="E53" s="31">
        <f t="shared" si="9"/>
        <v>0.96310282756297549</v>
      </c>
      <c r="F53" s="31">
        <f t="shared" si="9"/>
        <v>1.0952191783825937</v>
      </c>
      <c r="G53" s="31">
        <f t="shared" si="9"/>
        <v>1.0176458861161055</v>
      </c>
      <c r="H53" s="31">
        <f t="shared" si="9"/>
        <v>0.99922336638453768</v>
      </c>
      <c r="I53" s="31">
        <f t="shared" si="9"/>
        <v>1.1276685703516447</v>
      </c>
      <c r="J53" s="31" t="str">
        <f t="shared" si="9"/>
        <v/>
      </c>
      <c r="K53" s="31" t="str">
        <f t="shared" si="9"/>
        <v/>
      </c>
      <c r="L53" s="31" t="str">
        <f t="shared" si="9"/>
        <v/>
      </c>
      <c r="M53" s="31" t="str">
        <f t="shared" si="9"/>
        <v/>
      </c>
      <c r="N53" s="31" t="str">
        <f t="shared" si="9"/>
        <v/>
      </c>
      <c r="O53" s="31" t="str">
        <f t="shared" si="9"/>
        <v/>
      </c>
      <c r="Q53" s="167"/>
      <c r="R53" s="167"/>
      <c r="S53" s="168"/>
      <c r="T53" s="184" t="str">
        <f>"IL to "&amp;$O$4*12&amp;"*"</f>
        <v>IL to 348*</v>
      </c>
      <c r="U53" s="185">
        <f ca="1">PRODUCT(C60:N60)</f>
        <v>1.695956527623705</v>
      </c>
      <c r="V53" s="167"/>
    </row>
    <row r="54" spans="1:22">
      <c r="B54" s="24">
        <f t="shared" si="7"/>
        <v>1988</v>
      </c>
      <c r="C54" s="31">
        <f t="shared" si="9"/>
        <v>1.2307865588846845</v>
      </c>
      <c r="D54" s="31">
        <f t="shared" si="9"/>
        <v>0.96323366519426967</v>
      </c>
      <c r="E54" s="31">
        <f t="shared" si="9"/>
        <v>1.0694676804435559</v>
      </c>
      <c r="F54" s="31">
        <f t="shared" si="9"/>
        <v>0.95799237969503037</v>
      </c>
      <c r="G54" s="31">
        <f t="shared" si="9"/>
        <v>1.0976175643005739</v>
      </c>
      <c r="H54" s="31">
        <f t="shared" si="9"/>
        <v>0.93953727698666034</v>
      </c>
      <c r="I54" s="31" t="str">
        <f t="shared" si="9"/>
        <v/>
      </c>
      <c r="J54" s="31" t="str">
        <f t="shared" si="9"/>
        <v/>
      </c>
      <c r="K54" s="31" t="str">
        <f t="shared" si="9"/>
        <v/>
      </c>
      <c r="L54" s="31" t="str">
        <f t="shared" si="9"/>
        <v/>
      </c>
      <c r="M54" s="31" t="str">
        <f t="shared" si="9"/>
        <v/>
      </c>
      <c r="N54" s="31" t="str">
        <f t="shared" si="9"/>
        <v/>
      </c>
      <c r="O54" s="31" t="str">
        <f t="shared" si="9"/>
        <v/>
      </c>
      <c r="Q54" s="167"/>
      <c r="R54" s="167"/>
      <c r="S54" s="168"/>
      <c r="T54" s="168"/>
      <c r="U54" s="168"/>
      <c r="V54" s="167"/>
    </row>
    <row r="55" spans="1:22">
      <c r="B55" s="24">
        <f t="shared" si="7"/>
        <v>1989</v>
      </c>
      <c r="C55" s="31">
        <f t="shared" si="9"/>
        <v>1.3991887307697579</v>
      </c>
      <c r="D55" s="31">
        <f t="shared" si="9"/>
        <v>1.3252798102358179</v>
      </c>
      <c r="E55" s="31">
        <f t="shared" si="9"/>
        <v>1.0715017012747723</v>
      </c>
      <c r="F55" s="31">
        <f t="shared" si="9"/>
        <v>0.86903453894219729</v>
      </c>
      <c r="G55" s="31">
        <f t="shared" si="9"/>
        <v>0.91765076643185339</v>
      </c>
      <c r="H55" s="31" t="str">
        <f t="shared" si="9"/>
        <v/>
      </c>
      <c r="I55" s="31" t="str">
        <f t="shared" si="9"/>
        <v/>
      </c>
      <c r="J55" s="31" t="str">
        <f t="shared" si="9"/>
        <v/>
      </c>
      <c r="K55" s="31" t="str">
        <f t="shared" si="9"/>
        <v/>
      </c>
      <c r="L55" s="31" t="str">
        <f t="shared" si="9"/>
        <v/>
      </c>
      <c r="M55" s="31" t="str">
        <f t="shared" si="9"/>
        <v/>
      </c>
      <c r="N55" s="31" t="str">
        <f t="shared" si="9"/>
        <v/>
      </c>
      <c r="O55" s="31" t="str">
        <f t="shared" si="9"/>
        <v/>
      </c>
      <c r="Q55" s="167"/>
      <c r="R55" s="167"/>
      <c r="S55" s="168"/>
      <c r="T55" s="181" t="s">
        <v>37</v>
      </c>
      <c r="U55" s="186">
        <f ca="1">(1+(U53-1)*(1+U52))/U53</f>
        <v>1.5917757641341232</v>
      </c>
      <c r="V55" s="167"/>
    </row>
    <row r="56" spans="1:22">
      <c r="B56" s="24">
        <f t="shared" si="7"/>
        <v>1990</v>
      </c>
      <c r="C56" s="31">
        <f t="shared" si="9"/>
        <v>1.5395742094566449</v>
      </c>
      <c r="D56" s="31">
        <f t="shared" si="9"/>
        <v>0.95289946636022604</v>
      </c>
      <c r="E56" s="31">
        <f t="shared" si="9"/>
        <v>1.0279464341488262</v>
      </c>
      <c r="F56" s="31">
        <f t="shared" si="9"/>
        <v>1.0907546710867653</v>
      </c>
      <c r="G56" s="31" t="str">
        <f t="shared" si="9"/>
        <v/>
      </c>
      <c r="H56" s="31" t="str">
        <f t="shared" si="9"/>
        <v/>
      </c>
      <c r="I56" s="31" t="str">
        <f t="shared" si="9"/>
        <v/>
      </c>
      <c r="J56" s="31" t="str">
        <f t="shared" si="9"/>
        <v/>
      </c>
      <c r="K56" s="31" t="str">
        <f t="shared" si="9"/>
        <v/>
      </c>
      <c r="L56" s="31" t="str">
        <f t="shared" si="9"/>
        <v/>
      </c>
      <c r="M56" s="31" t="str">
        <f t="shared" si="9"/>
        <v/>
      </c>
      <c r="N56" s="31" t="str">
        <f t="shared" si="9"/>
        <v/>
      </c>
      <c r="O56" s="31" t="str">
        <f t="shared" si="9"/>
        <v/>
      </c>
      <c r="Q56" s="167"/>
      <c r="R56" s="167"/>
      <c r="S56" s="181" t="s">
        <v>220</v>
      </c>
      <c r="T56" s="181"/>
      <c r="U56" s="181"/>
      <c r="V56" s="167"/>
    </row>
    <row r="57" spans="1:22">
      <c r="B57" s="24"/>
    </row>
    <row r="58" spans="1:22">
      <c r="B58" s="24" t="s">
        <v>45</v>
      </c>
      <c r="C58" s="31">
        <f>(SUM(C47:C56)-MIN(C47:C56)-MAX(C47:C56))/(COUNT(C47:C56)-2)</f>
        <v>1.3817239250737243</v>
      </c>
      <c r="D58" s="31">
        <f t="shared" ref="D58:L58" si="10">(SUM(D47:D56)-MIN(D47:D56)-MAX(D47:D56))/(COUNT(D47:D56)-2)</f>
        <v>1.2320351611958202</v>
      </c>
      <c r="E58" s="31">
        <f t="shared" si="10"/>
        <v>1.017321822562725</v>
      </c>
      <c r="F58" s="31">
        <f t="shared" si="10"/>
        <v>1.0121627719007045</v>
      </c>
      <c r="G58" s="31">
        <f t="shared" si="10"/>
        <v>1.144729658653638</v>
      </c>
      <c r="H58" s="31">
        <f t="shared" si="10"/>
        <v>1.3379854905947948</v>
      </c>
      <c r="I58" s="31">
        <f t="shared" si="10"/>
        <v>1.0182719541422505</v>
      </c>
      <c r="J58" s="31">
        <f t="shared" si="10"/>
        <v>1.0621452923464729</v>
      </c>
      <c r="K58" s="31">
        <f t="shared" si="10"/>
        <v>0.98971225372036065</v>
      </c>
      <c r="L58" s="31">
        <f t="shared" si="10"/>
        <v>1.2494489722971878</v>
      </c>
      <c r="M58" s="31">
        <f>(SUM(M47:M56)-MIN(M47:M56)-MAX(M47:M56))/(COUNT(M47:M56)-2)</f>
        <v>1.0822780514352233</v>
      </c>
      <c r="N58" s="31">
        <f>AVERAGE(N47:N56)</f>
        <v>1.0600282264423697</v>
      </c>
      <c r="O58" s="31">
        <f>AVERAGE(O47:O56)</f>
        <v>1.087987998955348</v>
      </c>
    </row>
    <row r="59" spans="1:22" ht="38.25">
      <c r="B59" s="28" t="s">
        <v>44</v>
      </c>
      <c r="C59" s="31">
        <f ca="1">SUM((OFFSET(Step1Pivot,10-COUNTBLANK(D$33:D$42),D32-16)):(OFFSET(Step1Pivot,6-COUNTBLANK(D$33:D$42),D32-16)))  /  SUM((OFFSET(Step1Pivot,10-COUNTBLANK(D$33:D$42),C32-16)):(OFFSET(Step1Pivot,6-COUNTBLANK(D$33:D$42),C32-16)))</f>
        <v>1.1574254500233296</v>
      </c>
      <c r="D59" s="31">
        <f ca="1">SUM((OFFSET(Step1Pivot,10-COUNTBLANK(E$33:E$42),E32-16)):(OFFSET(Step1Pivot,6-COUNTBLANK(E$33:E$42),E32-16)))  /  SUM((OFFSET(Step1Pivot,10-COUNTBLANK(E$33:E$42),D32-16)):(OFFSET(Step1Pivot,6-COUNTBLANK(E$33:E$42),D32-16)))</f>
        <v>1.0781534057603321</v>
      </c>
      <c r="E59" s="31">
        <f ca="1">SUM((OFFSET(Step1Pivot,10-COUNTBLANK(F$33:F$42),F32-16)):(OFFSET(Step1Pivot,6-COUNTBLANK(F$33:F$42),F32-16)))  /  SUM((OFFSET(Step1Pivot,10-COUNTBLANK(F$33:F$42),E32-16)):(OFFSET(Step1Pivot,6-COUNTBLANK(F$33:F$42),E32-16)))</f>
        <v>1.0152418768598044</v>
      </c>
      <c r="F59" s="31">
        <f ca="1">SUM((OFFSET(Step1Pivot,10-COUNTBLANK(G$33:G$42),G32-16)):(OFFSET(Step1Pivot,6-COUNTBLANK(G$33:G$42),G32-16)))  /  SUM((OFFSET(Step1Pivot,10-COUNTBLANK(G$33:G$42),F32-16)):(OFFSET(Step1Pivot,6-COUNTBLANK(G$33:G$42),F32-16)))</f>
        <v>1.0409423013089334</v>
      </c>
      <c r="G59" s="31">
        <f ca="1">SUM((OFFSET(Step1Pivot,10-COUNTBLANK(H$33:H$42),H32-16)):(OFFSET(Step1Pivot,6-COUNTBLANK(H$33:H$42),H32-16)))  /  SUM((OFFSET(Step1Pivot,10-COUNTBLANK(H$33:H$42),G32-16)):(OFFSET(Step1Pivot,6-COUNTBLANK(H$33:H$42),G32-16)))</f>
        <v>1.0572257896324173</v>
      </c>
      <c r="H59" s="31">
        <f ca="1">SUM((OFFSET(Step1Pivot,10-COUNTBLANK(I$33:I$42),I32-16)):(OFFSET(Step1Pivot,6-COUNTBLANK(I$33:I$42),I32-16)))  /  SUM((OFFSET(Step1Pivot,10-COUNTBLANK(I$33:I$42),H32-16)):(OFFSET(Step1Pivot,6-COUNTBLANK(I$33:I$42),H32-16)))</f>
        <v>1.003400489493782</v>
      </c>
      <c r="I59" s="31">
        <f ca="1">SUM((OFFSET(Step1Pivot,10-COUNTBLANK(J$33:J$42),J32-16)):(OFFSET(Step1Pivot,6-COUNTBLANK(J$33:J$42),J32-16)))  /  SUM((OFFSET(Step1Pivot,10-COUNTBLANK(J$33:J$42),I32-16)):(OFFSET(Step1Pivot,6-COUNTBLANK(J$33:J$42),I32-16)))</f>
        <v>1.0012864356453928</v>
      </c>
      <c r="J59" s="31">
        <f ca="1">SUM((OFFSET(Step1Pivot,10-COUNTBLANK(K$33:K$42),K32-16)):(OFFSET(Step1Pivot,6-COUNTBLANK(K$33:K$42),K32-16)))  /  SUM((OFFSET(Step1Pivot,10-COUNTBLANK(K$33:K$42),J32-16)):(OFFSET(Step1Pivot,6-COUNTBLANK(K$33:K$42),J32-16)))</f>
        <v>1.0223444808089435</v>
      </c>
      <c r="K59" s="31">
        <f ca="1">SUM((OFFSET(Step1Pivot,10-COUNTBLANK(L$33:L$42),L32-16)):(OFFSET(Step1Pivot,6-COUNTBLANK(L$33:L$42),L32-16)))  /  SUM((OFFSET(Step1Pivot,10-COUNTBLANK(L$33:L$42),K32-16)):(OFFSET(Step1Pivot,6-COUNTBLANK(L$33:L$42),K32-16)))</f>
        <v>1.0008351242349562</v>
      </c>
      <c r="L59" s="31">
        <f>SUM(M33:M36)/SUM(L33:L36)</f>
        <v>1.0913342873106531</v>
      </c>
      <c r="M59" s="31">
        <f>SUM(N33:N35)/SUM(M33:M35)</f>
        <v>1.0364368248123299</v>
      </c>
      <c r="N59" s="31">
        <f>SUM(O33:O34)/SUM(N33:N34)</f>
        <v>1.0461263174513511</v>
      </c>
    </row>
    <row r="60" spans="1:22" s="107" customFormat="1">
      <c r="B60" s="187" t="s">
        <v>15</v>
      </c>
      <c r="C60" s="31">
        <f ca="1">C59</f>
        <v>1.1574254500233296</v>
      </c>
      <c r="D60" s="31">
        <f t="shared" ref="D60:J60" ca="1" si="11">D59</f>
        <v>1.0781534057603321</v>
      </c>
      <c r="E60" s="31">
        <f t="shared" ca="1" si="11"/>
        <v>1.0152418768598044</v>
      </c>
      <c r="F60" s="31">
        <f t="shared" ca="1" si="11"/>
        <v>1.0409423013089334</v>
      </c>
      <c r="G60" s="31">
        <f t="shared" ca="1" si="11"/>
        <v>1.0572257896324173</v>
      </c>
      <c r="H60" s="31">
        <f t="shared" ca="1" si="11"/>
        <v>1.003400489493782</v>
      </c>
      <c r="I60" s="31">
        <f t="shared" ca="1" si="11"/>
        <v>1.0012864356453928</v>
      </c>
      <c r="J60" s="31">
        <f t="shared" ca="1" si="11"/>
        <v>1.0223444808089435</v>
      </c>
      <c r="K60" s="31">
        <f ca="1">K59</f>
        <v>1.0008351242349562</v>
      </c>
      <c r="L60" s="31">
        <f t="shared" ref="L60:N60" si="12">L59</f>
        <v>1.0913342873106531</v>
      </c>
      <c r="M60" s="31">
        <f t="shared" si="12"/>
        <v>1.0364368248123299</v>
      </c>
      <c r="N60" s="31">
        <f t="shared" si="12"/>
        <v>1.0461263174513511</v>
      </c>
      <c r="O60" s="34" t="s">
        <v>37</v>
      </c>
    </row>
    <row r="61" spans="1:22" ht="26.25" thickBot="1">
      <c r="B61" s="28" t="s">
        <v>36</v>
      </c>
      <c r="C61" s="31">
        <f t="shared" ref="C61:J61" ca="1" si="13">C59*D61</f>
        <v>2.6995824976964777</v>
      </c>
      <c r="D61" s="31">
        <f t="shared" ca="1" si="13"/>
        <v>2.3324029186001254</v>
      </c>
      <c r="E61" s="31">
        <f t="shared" ca="1" si="13"/>
        <v>2.1633312162616369</v>
      </c>
      <c r="F61" s="31">
        <f t="shared" ca="1" si="13"/>
        <v>2.1308530169706281</v>
      </c>
      <c r="G61" s="31">
        <f t="shared" ca="1" si="13"/>
        <v>2.0470423906216375</v>
      </c>
      <c r="H61" s="31">
        <f t="shared" ca="1" si="13"/>
        <v>1.9362395532683379</v>
      </c>
      <c r="I61" s="31">
        <f t="shared" ca="1" si="13"/>
        <v>1.9296777045077738</v>
      </c>
      <c r="J61" s="31">
        <f t="shared" ca="1" si="13"/>
        <v>1.9271984876774784</v>
      </c>
      <c r="K61" s="31">
        <f ca="1">K59*L61</f>
        <v>1.8850774116299402</v>
      </c>
      <c r="L61" s="31">
        <f t="shared" ref="L61:N61" ca="1" si="14">L59*M61</f>
        <v>1.8835044514159149</v>
      </c>
      <c r="M61" s="31">
        <f t="shared" ca="1" si="14"/>
        <v>1.7258730650325176</v>
      </c>
      <c r="N61" s="31">
        <f t="shared" ca="1" si="14"/>
        <v>1.6651985183419409</v>
      </c>
      <c r="O61" s="196">
        <f ca="1">Tail</f>
        <v>1.5917757641341232</v>
      </c>
    </row>
    <row r="62" spans="1:22" ht="13.5" thickTop="1">
      <c r="B62" s="24"/>
    </row>
    <row r="63" spans="1:22" s="24" customFormat="1">
      <c r="A63" s="24" t="s">
        <v>42</v>
      </c>
      <c r="B63" s="32" t="s">
        <v>55</v>
      </c>
      <c r="C63" s="24" t="s">
        <v>43</v>
      </c>
    </row>
    <row r="64" spans="1:22">
      <c r="B64" s="24" t="str">
        <f>B45</f>
        <v>Underwriting</v>
      </c>
    </row>
    <row r="65" spans="1:16">
      <c r="B65" s="24" t="str">
        <f t="shared" ref="B65:B75" si="15">B46</f>
        <v>Year</v>
      </c>
      <c r="C65" s="197">
        <f>C32</f>
        <v>17</v>
      </c>
      <c r="D65" s="197">
        <f t="shared" ref="D65:P65" si="16">D32</f>
        <v>18</v>
      </c>
      <c r="E65" s="197">
        <f t="shared" si="16"/>
        <v>19</v>
      </c>
      <c r="F65" s="197">
        <f t="shared" si="16"/>
        <v>20</v>
      </c>
      <c r="G65" s="197">
        <f t="shared" si="16"/>
        <v>21</v>
      </c>
      <c r="H65" s="197">
        <f t="shared" si="16"/>
        <v>22</v>
      </c>
      <c r="I65" s="197">
        <f t="shared" si="16"/>
        <v>23</v>
      </c>
      <c r="J65" s="197">
        <f t="shared" si="16"/>
        <v>24</v>
      </c>
      <c r="K65" s="197">
        <f t="shared" si="16"/>
        <v>25</v>
      </c>
      <c r="L65" s="197">
        <f t="shared" si="16"/>
        <v>26</v>
      </c>
      <c r="M65" s="197">
        <f t="shared" si="16"/>
        <v>27</v>
      </c>
      <c r="N65" s="197">
        <f t="shared" si="16"/>
        <v>28</v>
      </c>
      <c r="O65" s="197">
        <f t="shared" si="16"/>
        <v>29</v>
      </c>
      <c r="P65" s="197">
        <f t="shared" si="16"/>
        <v>30</v>
      </c>
    </row>
    <row r="66" spans="1:16">
      <c r="B66" s="24">
        <f t="shared" si="15"/>
        <v>1981</v>
      </c>
      <c r="C66" s="31">
        <f>IFERROR(C19/C33,"")</f>
        <v>1</v>
      </c>
      <c r="D66" s="31">
        <f t="shared" ref="D66:P66" si="17">IFERROR(D19/D33,"")</f>
        <v>0.79928768839239916</v>
      </c>
      <c r="E66" s="31">
        <f t="shared" si="17"/>
        <v>0.93039183985675822</v>
      </c>
      <c r="F66" s="31">
        <f t="shared" si="17"/>
        <v>0.95980760361862072</v>
      </c>
      <c r="G66" s="31">
        <f t="shared" si="17"/>
        <v>0.47841618110789552</v>
      </c>
      <c r="H66" s="31">
        <f t="shared" si="17"/>
        <v>0.30466061144595241</v>
      </c>
      <c r="I66" s="31">
        <f t="shared" si="17"/>
        <v>0.24326953826015449</v>
      </c>
      <c r="J66" s="31">
        <f t="shared" si="17"/>
        <v>0.2340717605271167</v>
      </c>
      <c r="K66" s="31">
        <f t="shared" si="17"/>
        <v>0.18464597758424595</v>
      </c>
      <c r="L66" s="31">
        <f t="shared" si="17"/>
        <v>0.17778353876632033</v>
      </c>
      <c r="M66" s="31">
        <f t="shared" si="17"/>
        <v>0.13794613937231678</v>
      </c>
      <c r="N66" s="31">
        <f t="shared" si="17"/>
        <v>0.15672646848886171</v>
      </c>
      <c r="O66" s="31">
        <f t="shared" si="17"/>
        <v>0.14223467705119358</v>
      </c>
      <c r="P66" s="31">
        <f t="shared" si="17"/>
        <v>0.12588865721919257</v>
      </c>
    </row>
    <row r="67" spans="1:16">
      <c r="B67" s="24">
        <f t="shared" si="15"/>
        <v>1982</v>
      </c>
      <c r="C67" s="31">
        <f t="shared" ref="C67:P75" si="18">IFERROR(C20/C34,"")</f>
        <v>1</v>
      </c>
      <c r="D67" s="31">
        <f t="shared" si="18"/>
        <v>0.49836450210756611</v>
      </c>
      <c r="E67" s="31">
        <f t="shared" si="18"/>
        <v>0.47594607036571995</v>
      </c>
      <c r="F67" s="31">
        <f t="shared" si="18"/>
        <v>0.4580080983339006</v>
      </c>
      <c r="G67" s="31">
        <f t="shared" si="18"/>
        <v>0.31619852143425237</v>
      </c>
      <c r="H67" s="31">
        <f t="shared" si="18"/>
        <v>0.24713552765262356</v>
      </c>
      <c r="I67" s="31">
        <f t="shared" si="18"/>
        <v>0.24816638721297757</v>
      </c>
      <c r="J67" s="31">
        <f t="shared" si="18"/>
        <v>0.23376412146447179</v>
      </c>
      <c r="K67" s="31">
        <f t="shared" si="18"/>
        <v>0.20136087554975907</v>
      </c>
      <c r="L67" s="31">
        <f t="shared" si="18"/>
        <v>0.17243379101268402</v>
      </c>
      <c r="M67" s="31">
        <f t="shared" si="18"/>
        <v>0.18801048220139574</v>
      </c>
      <c r="N67" s="31">
        <f t="shared" si="18"/>
        <v>0.16023781461824113</v>
      </c>
      <c r="O67" s="31">
        <f t="shared" si="18"/>
        <v>0.1393343389969566</v>
      </c>
      <c r="P67" s="31" t="str">
        <f t="shared" si="18"/>
        <v/>
      </c>
    </row>
    <row r="68" spans="1:16">
      <c r="B68" s="24">
        <f t="shared" si="15"/>
        <v>1983</v>
      </c>
      <c r="C68" s="31">
        <f t="shared" si="18"/>
        <v>1</v>
      </c>
      <c r="D68" s="31">
        <f t="shared" si="18"/>
        <v>0.83827008785816737</v>
      </c>
      <c r="E68" s="31">
        <f t="shared" si="18"/>
        <v>0.39104360344471273</v>
      </c>
      <c r="F68" s="31">
        <f t="shared" si="18"/>
        <v>0.3825218020233484</v>
      </c>
      <c r="G68" s="31">
        <f t="shared" si="18"/>
        <v>0.48387567880925259</v>
      </c>
      <c r="H68" s="31">
        <f t="shared" si="18"/>
        <v>13.803830648248898</v>
      </c>
      <c r="I68" s="31">
        <f t="shared" si="18"/>
        <v>2.2218892766764768</v>
      </c>
      <c r="J68" s="31">
        <f t="shared" si="18"/>
        <v>5.8611293748080033</v>
      </c>
      <c r="K68" s="31">
        <f t="shared" si="18"/>
        <v>5.8641601859973775</v>
      </c>
      <c r="L68" s="31">
        <f t="shared" si="18"/>
        <v>4.6158945577802166</v>
      </c>
      <c r="M68" s="31">
        <f t="shared" si="18"/>
        <v>3.401476137319368</v>
      </c>
      <c r="N68" s="31">
        <f t="shared" si="18"/>
        <v>3.023217313986664</v>
      </c>
      <c r="O68" s="31" t="str">
        <f t="shared" si="18"/>
        <v/>
      </c>
      <c r="P68" s="31" t="str">
        <f t="shared" si="18"/>
        <v/>
      </c>
    </row>
    <row r="69" spans="1:16">
      <c r="B69" s="24">
        <f t="shared" si="15"/>
        <v>1984</v>
      </c>
      <c r="C69" s="31">
        <f t="shared" si="18"/>
        <v>1</v>
      </c>
      <c r="D69" s="31">
        <f t="shared" si="18"/>
        <v>0.68347438200369737</v>
      </c>
      <c r="E69" s="31">
        <f t="shared" si="18"/>
        <v>0.42090607945425629</v>
      </c>
      <c r="F69" s="31">
        <f t="shared" si="18"/>
        <v>0.93958261700971601</v>
      </c>
      <c r="G69" s="31">
        <f t="shared" si="18"/>
        <v>3.0481040742110501</v>
      </c>
      <c r="H69" s="31">
        <f t="shared" si="18"/>
        <v>1.702918017175344</v>
      </c>
      <c r="I69" s="31">
        <f t="shared" si="18"/>
        <v>0.87824078011454088</v>
      </c>
      <c r="J69" s="31">
        <f t="shared" si="18"/>
        <v>0.84341455976795043</v>
      </c>
      <c r="K69" s="31">
        <f t="shared" si="18"/>
        <v>0.42295129702032486</v>
      </c>
      <c r="L69" s="31">
        <f t="shared" si="18"/>
        <v>0.45288750285919971</v>
      </c>
      <c r="M69" s="31">
        <f t="shared" si="18"/>
        <v>0.26996443937170106</v>
      </c>
      <c r="N69" s="31" t="str">
        <f t="shared" si="18"/>
        <v/>
      </c>
      <c r="O69" s="31" t="str">
        <f t="shared" si="18"/>
        <v/>
      </c>
      <c r="P69" s="31" t="str">
        <f t="shared" si="18"/>
        <v/>
      </c>
    </row>
    <row r="70" spans="1:16">
      <c r="B70" s="24">
        <f t="shared" si="15"/>
        <v>1985</v>
      </c>
      <c r="C70" s="31">
        <f t="shared" si="18"/>
        <v>1</v>
      </c>
      <c r="D70" s="31">
        <f t="shared" si="18"/>
        <v>0.57759238284420877</v>
      </c>
      <c r="E70" s="31">
        <f t="shared" si="18"/>
        <v>0.41824244767832863</v>
      </c>
      <c r="F70" s="31">
        <f t="shared" si="18"/>
        <v>0.37596725558128569</v>
      </c>
      <c r="G70" s="31">
        <f t="shared" si="18"/>
        <v>0.45844470913978924</v>
      </c>
      <c r="H70" s="31">
        <f t="shared" si="18"/>
        <v>0.5441132798796271</v>
      </c>
      <c r="I70" s="31">
        <f t="shared" si="18"/>
        <v>0.50276771465129733</v>
      </c>
      <c r="J70" s="31">
        <f t="shared" si="18"/>
        <v>0.55831734333364591</v>
      </c>
      <c r="K70" s="31">
        <f t="shared" si="18"/>
        <v>0.50299649189510054</v>
      </c>
      <c r="L70" s="31">
        <f t="shared" si="18"/>
        <v>0.54190932082268395</v>
      </c>
      <c r="M70" s="31" t="str">
        <f t="shared" si="18"/>
        <v/>
      </c>
      <c r="N70" s="31" t="str">
        <f t="shared" si="18"/>
        <v/>
      </c>
      <c r="O70" s="31" t="str">
        <f t="shared" si="18"/>
        <v/>
      </c>
      <c r="P70" s="31" t="str">
        <f t="shared" si="18"/>
        <v/>
      </c>
    </row>
    <row r="71" spans="1:16">
      <c r="B71" s="24">
        <f t="shared" si="15"/>
        <v>1986</v>
      </c>
      <c r="C71" s="31">
        <f t="shared" si="18"/>
        <v>1</v>
      </c>
      <c r="D71" s="31">
        <f t="shared" si="18"/>
        <v>1.0086398208987997</v>
      </c>
      <c r="E71" s="31">
        <f t="shared" si="18"/>
        <v>1.0177919018583776</v>
      </c>
      <c r="F71" s="31">
        <f t="shared" si="18"/>
        <v>0.92153029788443763</v>
      </c>
      <c r="G71" s="31">
        <f t="shared" si="18"/>
        <v>0.92747694238735767</v>
      </c>
      <c r="H71" s="31">
        <f t="shared" si="18"/>
        <v>0.90591336877044237</v>
      </c>
      <c r="I71" s="31">
        <f t="shared" si="18"/>
        <v>0.9393860177102612</v>
      </c>
      <c r="J71" s="31">
        <f t="shared" si="18"/>
        <v>0.93132393773795796</v>
      </c>
      <c r="K71" s="31">
        <f t="shared" si="18"/>
        <v>0.94389677083826196</v>
      </c>
      <c r="L71" s="31" t="str">
        <f t="shared" si="18"/>
        <v/>
      </c>
      <c r="M71" s="31" t="str">
        <f t="shared" si="18"/>
        <v/>
      </c>
      <c r="N71" s="31" t="str">
        <f t="shared" si="18"/>
        <v/>
      </c>
      <c r="O71" s="31" t="str">
        <f t="shared" si="18"/>
        <v/>
      </c>
      <c r="P71" s="31" t="str">
        <f t="shared" si="18"/>
        <v/>
      </c>
    </row>
    <row r="72" spans="1:16">
      <c r="B72" s="24">
        <f t="shared" si="15"/>
        <v>1987</v>
      </c>
      <c r="C72" s="31">
        <f t="shared" si="18"/>
        <v>1</v>
      </c>
      <c r="D72" s="31">
        <f t="shared" si="18"/>
        <v>0.93774745783508318</v>
      </c>
      <c r="E72" s="31">
        <f t="shared" si="18"/>
        <v>0.77215367435325444</v>
      </c>
      <c r="F72" s="31">
        <f t="shared" si="18"/>
        <v>0.72269566144213016</v>
      </c>
      <c r="G72" s="31">
        <f t="shared" si="18"/>
        <v>0.7252551913312455</v>
      </c>
      <c r="H72" s="31">
        <f t="shared" si="18"/>
        <v>0.70115971448731629</v>
      </c>
      <c r="I72" s="31">
        <f t="shared" si="18"/>
        <v>0.69882253893810087</v>
      </c>
      <c r="J72" s="31">
        <f t="shared" si="18"/>
        <v>0.56661870219761068</v>
      </c>
      <c r="K72" s="31" t="str">
        <f t="shared" si="18"/>
        <v/>
      </c>
      <c r="L72" s="31" t="str">
        <f t="shared" si="18"/>
        <v/>
      </c>
      <c r="M72" s="31" t="str">
        <f t="shared" si="18"/>
        <v/>
      </c>
      <c r="N72" s="31" t="str">
        <f t="shared" si="18"/>
        <v/>
      </c>
      <c r="O72" s="31" t="str">
        <f t="shared" si="18"/>
        <v/>
      </c>
      <c r="P72" s="31" t="str">
        <f t="shared" si="18"/>
        <v/>
      </c>
    </row>
    <row r="73" spans="1:16">
      <c r="B73" s="24">
        <f t="shared" si="15"/>
        <v>1988</v>
      </c>
      <c r="C73" s="31">
        <f t="shared" si="18"/>
        <v>1</v>
      </c>
      <c r="D73" s="31">
        <f t="shared" si="18"/>
        <v>0.81703027707428721</v>
      </c>
      <c r="E73" s="31">
        <f t="shared" si="18"/>
        <v>0.86180221523771772</v>
      </c>
      <c r="F73" s="31">
        <f t="shared" si="18"/>
        <v>0.81540222696760434</v>
      </c>
      <c r="G73" s="31">
        <f t="shared" si="18"/>
        <v>0.82559683201585377</v>
      </c>
      <c r="H73" s="31">
        <f t="shared" si="18"/>
        <v>0.82195142921478548</v>
      </c>
      <c r="I73" s="31">
        <f t="shared" si="18"/>
        <v>0.80855191845452679</v>
      </c>
      <c r="J73" s="31" t="str">
        <f t="shared" si="18"/>
        <v/>
      </c>
      <c r="K73" s="31" t="str">
        <f t="shared" si="18"/>
        <v/>
      </c>
      <c r="L73" s="31" t="str">
        <f t="shared" si="18"/>
        <v/>
      </c>
      <c r="M73" s="31" t="str">
        <f t="shared" si="18"/>
        <v/>
      </c>
      <c r="N73" s="31" t="str">
        <f t="shared" si="18"/>
        <v/>
      </c>
      <c r="O73" s="31" t="str">
        <f t="shared" si="18"/>
        <v/>
      </c>
      <c r="P73" s="31" t="str">
        <f t="shared" si="18"/>
        <v/>
      </c>
    </row>
    <row r="74" spans="1:16">
      <c r="B74" s="24">
        <f t="shared" si="15"/>
        <v>1989</v>
      </c>
      <c r="C74" s="31">
        <f t="shared" si="18"/>
        <v>1</v>
      </c>
      <c r="D74" s="31">
        <f t="shared" si="18"/>
        <v>0.87346449317385111</v>
      </c>
      <c r="E74" s="31">
        <f t="shared" si="18"/>
        <v>0.95023032998756296</v>
      </c>
      <c r="F74" s="31">
        <f t="shared" si="18"/>
        <v>0.87394383246629825</v>
      </c>
      <c r="G74" s="31">
        <f t="shared" si="18"/>
        <v>0.87164082303039958</v>
      </c>
      <c r="H74" s="31">
        <f t="shared" si="18"/>
        <v>0.83815693018462489</v>
      </c>
      <c r="I74" s="31" t="str">
        <f t="shared" si="18"/>
        <v/>
      </c>
      <c r="J74" s="31" t="str">
        <f t="shared" si="18"/>
        <v/>
      </c>
      <c r="K74" s="31" t="str">
        <f t="shared" si="18"/>
        <v/>
      </c>
      <c r="L74" s="31" t="str">
        <f t="shared" si="18"/>
        <v/>
      </c>
      <c r="M74" s="31" t="str">
        <f t="shared" si="18"/>
        <v/>
      </c>
      <c r="N74" s="31" t="str">
        <f t="shared" si="18"/>
        <v/>
      </c>
      <c r="O74" s="31" t="str">
        <f t="shared" si="18"/>
        <v/>
      </c>
      <c r="P74" s="31" t="str">
        <f t="shared" si="18"/>
        <v/>
      </c>
    </row>
    <row r="75" spans="1:16">
      <c r="B75" s="24">
        <f t="shared" si="15"/>
        <v>1990</v>
      </c>
      <c r="C75" s="31">
        <f t="shared" si="18"/>
        <v>1</v>
      </c>
      <c r="D75" s="31">
        <f t="shared" si="18"/>
        <v>0.62120581126641927</v>
      </c>
      <c r="E75" s="31">
        <f t="shared" si="18"/>
        <v>0.70785579928564135</v>
      </c>
      <c r="F75" s="31">
        <f t="shared" si="18"/>
        <v>0.67145322813662234</v>
      </c>
      <c r="G75" s="31">
        <f t="shared" si="18"/>
        <v>0.69559527630181295</v>
      </c>
      <c r="H75" s="31" t="str">
        <f t="shared" si="18"/>
        <v/>
      </c>
      <c r="I75" s="31" t="str">
        <f t="shared" si="18"/>
        <v/>
      </c>
      <c r="J75" s="31" t="str">
        <f t="shared" si="18"/>
        <v/>
      </c>
      <c r="K75" s="31" t="str">
        <f t="shared" si="18"/>
        <v/>
      </c>
      <c r="L75" s="31" t="str">
        <f t="shared" si="18"/>
        <v/>
      </c>
      <c r="M75" s="31" t="str">
        <f t="shared" si="18"/>
        <v/>
      </c>
      <c r="N75" s="31" t="str">
        <f t="shared" si="18"/>
        <v/>
      </c>
      <c r="O75" s="31" t="str">
        <f t="shared" si="18"/>
        <v/>
      </c>
      <c r="P75" s="31" t="str">
        <f t="shared" si="18"/>
        <v/>
      </c>
    </row>
    <row r="76" spans="1:16">
      <c r="B76" s="2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1:16" ht="25.5">
      <c r="B77" s="28" t="s">
        <v>50</v>
      </c>
      <c r="C77" s="31">
        <f>SUM(C19:C28)/SUM(C33:C42)</f>
        <v>1</v>
      </c>
      <c r="D77" s="31">
        <f t="shared" ref="D77:P77" si="19">SUM(D19:D28)/SUM(D33:D42)</f>
        <v>0.74809970287070071</v>
      </c>
      <c r="E77" s="31">
        <f t="shared" si="19"/>
        <v>0.63937407832482895</v>
      </c>
      <c r="F77" s="31">
        <f t="shared" si="19"/>
        <v>0.63602709423901782</v>
      </c>
      <c r="G77" s="31">
        <f t="shared" si="19"/>
        <v>0.63010428544802333</v>
      </c>
      <c r="H77" s="31">
        <f t="shared" si="19"/>
        <v>0.62449958851440812</v>
      </c>
      <c r="I77" s="31">
        <f t="shared" si="19"/>
        <v>0.56889921293578216</v>
      </c>
      <c r="J77" s="31">
        <f t="shared" si="19"/>
        <v>0.51976864638905962</v>
      </c>
      <c r="K77" s="31">
        <f t="shared" si="19"/>
        <v>0.3771912688735985</v>
      </c>
      <c r="L77" s="31">
        <f t="shared" si="19"/>
        <v>0.32602491430869168</v>
      </c>
      <c r="M77" s="31">
        <f t="shared" si="19"/>
        <v>0.25917135801699542</v>
      </c>
      <c r="N77" s="31">
        <f t="shared" si="19"/>
        <v>0.24386513235884316</v>
      </c>
      <c r="O77" s="31">
        <f t="shared" si="19"/>
        <v>0.14060596145784068</v>
      </c>
      <c r="P77" s="31">
        <f t="shared" si="19"/>
        <v>0.12588865721919257</v>
      </c>
    </row>
    <row r="78" spans="1:16">
      <c r="B78" s="187" t="s">
        <v>15</v>
      </c>
      <c r="C78" s="31">
        <f>C77</f>
        <v>1</v>
      </c>
      <c r="D78" s="31">
        <f t="shared" ref="D78:P78" si="20">D77</f>
        <v>0.74809970287070071</v>
      </c>
      <c r="E78" s="31">
        <f t="shared" si="20"/>
        <v>0.63937407832482895</v>
      </c>
      <c r="F78" s="31">
        <f t="shared" si="20"/>
        <v>0.63602709423901782</v>
      </c>
      <c r="G78" s="31">
        <f t="shared" si="20"/>
        <v>0.63010428544802333</v>
      </c>
      <c r="H78" s="31">
        <f t="shared" si="20"/>
        <v>0.62449958851440812</v>
      </c>
      <c r="I78" s="31">
        <f t="shared" si="20"/>
        <v>0.56889921293578216</v>
      </c>
      <c r="J78" s="31">
        <f t="shared" si="20"/>
        <v>0.51976864638905962</v>
      </c>
      <c r="K78" s="31">
        <f t="shared" si="20"/>
        <v>0.3771912688735985</v>
      </c>
      <c r="L78" s="31">
        <f t="shared" si="20"/>
        <v>0.32602491430869168</v>
      </c>
      <c r="M78" s="31">
        <f t="shared" si="20"/>
        <v>0.25917135801699542</v>
      </c>
      <c r="N78" s="31">
        <f t="shared" si="20"/>
        <v>0.24386513235884316</v>
      </c>
      <c r="O78" s="31">
        <f t="shared" si="20"/>
        <v>0.14060596145784068</v>
      </c>
      <c r="P78" s="31">
        <f t="shared" si="20"/>
        <v>0.12588865721919257</v>
      </c>
    </row>
    <row r="79" spans="1:16">
      <c r="B79" s="1"/>
      <c r="D79" t="str">
        <f>IF(D78&gt;C78,"Modify","")</f>
        <v/>
      </c>
      <c r="E79" t="str">
        <f t="shared" ref="E79:P79" si="21">IF(E78&gt;D78,"Modify","")</f>
        <v/>
      </c>
      <c r="F79" t="str">
        <f t="shared" si="21"/>
        <v/>
      </c>
      <c r="G79" t="str">
        <f t="shared" si="21"/>
        <v/>
      </c>
      <c r="H79" t="str">
        <f t="shared" si="21"/>
        <v/>
      </c>
      <c r="I79" t="str">
        <f t="shared" si="21"/>
        <v/>
      </c>
      <c r="J79" t="str">
        <f t="shared" si="21"/>
        <v/>
      </c>
      <c r="K79" t="str">
        <f t="shared" si="21"/>
        <v/>
      </c>
      <c r="L79" t="str">
        <f t="shared" si="21"/>
        <v/>
      </c>
      <c r="M79" t="str">
        <f t="shared" si="21"/>
        <v/>
      </c>
      <c r="N79" t="str">
        <f t="shared" si="21"/>
        <v/>
      </c>
      <c r="O79" t="str">
        <f t="shared" si="21"/>
        <v/>
      </c>
      <c r="P79" t="str">
        <f t="shared" si="21"/>
        <v/>
      </c>
    </row>
    <row r="80" spans="1:16">
      <c r="A80" s="24" t="s">
        <v>58</v>
      </c>
      <c r="B80" s="1"/>
    </row>
    <row r="81" spans="2:11" ht="38.25">
      <c r="B81" s="189" t="s">
        <v>35</v>
      </c>
      <c r="C81" s="31">
        <f t="shared" ref="C81:J81" ca="1" si="22">(C61-1)/C78</f>
        <v>1.6995824976964777</v>
      </c>
      <c r="D81" s="31">
        <f t="shared" ca="1" si="22"/>
        <v>1.7810499235426296</v>
      </c>
      <c r="E81" s="31">
        <f t="shared" ca="1" si="22"/>
        <v>1.8194844859985326</v>
      </c>
      <c r="F81" s="31">
        <f t="shared" ca="1" si="22"/>
        <v>1.7779950370253497</v>
      </c>
      <c r="G81" s="31">
        <f t="shared" ca="1" si="22"/>
        <v>1.6616969838209534</v>
      </c>
      <c r="H81" s="31">
        <f t="shared" ca="1" si="22"/>
        <v>1.4991836191525969</v>
      </c>
      <c r="I81" s="31">
        <f t="shared" ca="1" si="22"/>
        <v>1.6341694334752341</v>
      </c>
      <c r="J81" s="31">
        <f t="shared" ca="1" si="22"/>
        <v>1.7838676767421779</v>
      </c>
      <c r="K81" s="31">
        <f ca="1">(K61-1)/K78</f>
        <v>2.3464949606947045</v>
      </c>
    </row>
    <row r="82" spans="2:11">
      <c r="B82" s="24"/>
    </row>
    <row r="83" spans="2:11">
      <c r="B83" s="24"/>
    </row>
    <row r="84" spans="2:11">
      <c r="B84" s="24"/>
    </row>
    <row r="85" spans="2:11">
      <c r="B85" s="32" t="s">
        <v>56</v>
      </c>
    </row>
    <row r="86" spans="2:11" s="35" customFormat="1" ht="51">
      <c r="B86" s="35" t="s">
        <v>47</v>
      </c>
      <c r="C86" s="35" t="s">
        <v>34</v>
      </c>
      <c r="D86" s="35" t="s">
        <v>48</v>
      </c>
      <c r="E86" s="35" t="s">
        <v>49</v>
      </c>
      <c r="F86" s="35" t="s">
        <v>57</v>
      </c>
    </row>
    <row r="87" spans="2:11" ht="13.5" thickBot="1">
      <c r="B87" s="16">
        <f ca="1">OFFSET(Step3Pivot,0,10-(B66-1980))</f>
        <v>25</v>
      </c>
      <c r="C87" s="16">
        <v>1986</v>
      </c>
      <c r="D87" s="96">
        <f>K24</f>
        <v>77635.762600140311</v>
      </c>
      <c r="E87" s="196">
        <f ca="1">IFERROR(HLOOKUP(B87,$C$65:$K$81,17,FALSE),"")</f>
        <v>2.3464949606947045</v>
      </c>
      <c r="F87" s="113">
        <f ca="1">D87*E87</f>
        <v>182171.92571091966</v>
      </c>
    </row>
    <row r="88" spans="2:11" ht="14.25" thickTop="1" thickBot="1">
      <c r="B88" s="16">
        <f ca="1">OFFSET(Step3Pivot,0,10-(B67-1980))</f>
        <v>24</v>
      </c>
      <c r="C88" s="16">
        <v>1987</v>
      </c>
      <c r="D88" s="96">
        <f>J25</f>
        <v>127566.63941251142</v>
      </c>
      <c r="E88" s="196">
        <f t="shared" ref="E88:E91" ca="1" si="23">IFERROR(HLOOKUP(B88,$C$65:$K$81,17,FALSE),"")</f>
        <v>1.7838676767421779</v>
      </c>
      <c r="F88" s="113">
        <f t="shared" ref="F88:F91" ca="1" si="24">D88*E88</f>
        <v>227562.0046786039</v>
      </c>
    </row>
    <row r="89" spans="2:11" ht="14.25" thickTop="1" thickBot="1">
      <c r="B89" s="16">
        <f ca="1">OFFSET(Step3Pivot,0,10-(B68-1980))</f>
        <v>23</v>
      </c>
      <c r="C89" s="16">
        <v>1988</v>
      </c>
      <c r="D89" s="96">
        <f>I26</f>
        <v>135678.91487703295</v>
      </c>
      <c r="E89" s="196">
        <f t="shared" ca="1" si="23"/>
        <v>1.6341694334752341</v>
      </c>
      <c r="F89" s="113">
        <f t="shared" ca="1" si="24"/>
        <v>221722.33545913544</v>
      </c>
    </row>
    <row r="90" spans="2:11" ht="14.25" thickTop="1" thickBot="1">
      <c r="B90" s="16">
        <f ca="1">OFFSET(Step3Pivot,0,10-(B69-1980))</f>
        <v>22</v>
      </c>
      <c r="C90" s="16">
        <v>1989</v>
      </c>
      <c r="D90" s="96">
        <f>H27</f>
        <v>99659.003027058949</v>
      </c>
      <c r="E90" s="196">
        <f t="shared" ca="1" si="23"/>
        <v>1.4991836191525969</v>
      </c>
      <c r="F90" s="113">
        <f t="shared" ca="1" si="24"/>
        <v>149407.14483924586</v>
      </c>
    </row>
    <row r="91" spans="2:11" ht="14.25" thickTop="1" thickBot="1">
      <c r="B91" s="16">
        <f ca="1">OFFSET(Step3Pivot,0,10-(B70-1980))</f>
        <v>21</v>
      </c>
      <c r="C91" s="16">
        <v>1990</v>
      </c>
      <c r="D91" s="96">
        <f>G28</f>
        <v>135444.76717251801</v>
      </c>
      <c r="E91" s="196">
        <f t="shared" ca="1" si="23"/>
        <v>1.6616969838209534</v>
      </c>
      <c r="F91" s="113">
        <f t="shared" ca="1" si="24"/>
        <v>225068.16108490448</v>
      </c>
    </row>
    <row r="92" spans="2:11" ht="13.5" thickTop="1"/>
  </sheetData>
  <conditionalFormatting sqref="C81:K8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-0.249977111117893"/>
  </sheetPr>
  <dimension ref="A1:AS63"/>
  <sheetViews>
    <sheetView view="pageBreakPreview" zoomScale="80" zoomScaleNormal="100" zoomScaleSheetLayoutView="80" workbookViewId="0">
      <selection activeCell="G25" sqref="G25"/>
    </sheetView>
  </sheetViews>
  <sheetFormatPr defaultRowHeight="12.75"/>
  <cols>
    <col min="1" max="1" width="9.140625" style="116"/>
    <col min="2" max="2" width="12.140625" style="116" bestFit="1" customWidth="1"/>
    <col min="3" max="4" width="9.140625" style="116"/>
    <col min="5" max="5" width="11.140625" style="116" customWidth="1"/>
    <col min="6" max="6" width="11.85546875" style="116" customWidth="1"/>
    <col min="7" max="7" width="12.28515625" style="116" customWidth="1"/>
    <col min="8" max="8" width="11.7109375" style="116" customWidth="1"/>
    <col min="9" max="9" width="9.140625" style="116"/>
    <col min="10" max="10" width="12.85546875" style="116" customWidth="1"/>
    <col min="11" max="14" width="9.140625" style="116"/>
    <col min="15" max="15" width="11.7109375" style="116" customWidth="1"/>
    <col min="16" max="16" width="14" style="116" customWidth="1"/>
    <col min="17" max="257" width="9.140625" style="116"/>
    <col min="258" max="258" width="12.140625" style="116" bestFit="1" customWidth="1"/>
    <col min="259" max="260" width="9.140625" style="116"/>
    <col min="261" max="261" width="11.140625" style="116" customWidth="1"/>
    <col min="262" max="262" width="11.85546875" style="116" customWidth="1"/>
    <col min="263" max="263" width="12.28515625" style="116" customWidth="1"/>
    <col min="264" max="264" width="11.7109375" style="116" customWidth="1"/>
    <col min="265" max="265" width="9.140625" style="116"/>
    <col min="266" max="266" width="12.85546875" style="116" customWidth="1"/>
    <col min="267" max="270" width="9.140625" style="116"/>
    <col min="271" max="271" width="11.7109375" style="116" customWidth="1"/>
    <col min="272" max="272" width="14" style="116" customWidth="1"/>
    <col min="273" max="513" width="9.140625" style="116"/>
    <col min="514" max="514" width="12.140625" style="116" bestFit="1" customWidth="1"/>
    <col min="515" max="516" width="9.140625" style="116"/>
    <col min="517" max="517" width="11.140625" style="116" customWidth="1"/>
    <col min="518" max="518" width="11.85546875" style="116" customWidth="1"/>
    <col min="519" max="519" width="12.28515625" style="116" customWidth="1"/>
    <col min="520" max="520" width="11.7109375" style="116" customWidth="1"/>
    <col min="521" max="521" width="9.140625" style="116"/>
    <col min="522" max="522" width="12.85546875" style="116" customWidth="1"/>
    <col min="523" max="526" width="9.140625" style="116"/>
    <col min="527" max="527" width="11.7109375" style="116" customWidth="1"/>
    <col min="528" max="528" width="14" style="116" customWidth="1"/>
    <col min="529" max="769" width="9.140625" style="116"/>
    <col min="770" max="770" width="12.140625" style="116" bestFit="1" customWidth="1"/>
    <col min="771" max="772" width="9.140625" style="116"/>
    <col min="773" max="773" width="11.140625" style="116" customWidth="1"/>
    <col min="774" max="774" width="11.85546875" style="116" customWidth="1"/>
    <col min="775" max="775" width="12.28515625" style="116" customWidth="1"/>
    <col min="776" max="776" width="11.7109375" style="116" customWidth="1"/>
    <col min="777" max="777" width="9.140625" style="116"/>
    <col min="778" max="778" width="12.85546875" style="116" customWidth="1"/>
    <col min="779" max="782" width="9.140625" style="116"/>
    <col min="783" max="783" width="11.7109375" style="116" customWidth="1"/>
    <col min="784" max="784" width="14" style="116" customWidth="1"/>
    <col min="785" max="1025" width="9.140625" style="116"/>
    <col min="1026" max="1026" width="12.140625" style="116" bestFit="1" customWidth="1"/>
    <col min="1027" max="1028" width="9.140625" style="116"/>
    <col min="1029" max="1029" width="11.140625" style="116" customWidth="1"/>
    <col min="1030" max="1030" width="11.85546875" style="116" customWidth="1"/>
    <col min="1031" max="1031" width="12.28515625" style="116" customWidth="1"/>
    <col min="1032" max="1032" width="11.7109375" style="116" customWidth="1"/>
    <col min="1033" max="1033" width="9.140625" style="116"/>
    <col min="1034" max="1034" width="12.85546875" style="116" customWidth="1"/>
    <col min="1035" max="1038" width="9.140625" style="116"/>
    <col min="1039" max="1039" width="11.7109375" style="116" customWidth="1"/>
    <col min="1040" max="1040" width="14" style="116" customWidth="1"/>
    <col min="1041" max="1281" width="9.140625" style="116"/>
    <col min="1282" max="1282" width="12.140625" style="116" bestFit="1" customWidth="1"/>
    <col min="1283" max="1284" width="9.140625" style="116"/>
    <col min="1285" max="1285" width="11.140625" style="116" customWidth="1"/>
    <col min="1286" max="1286" width="11.85546875" style="116" customWidth="1"/>
    <col min="1287" max="1287" width="12.28515625" style="116" customWidth="1"/>
    <col min="1288" max="1288" width="11.7109375" style="116" customWidth="1"/>
    <col min="1289" max="1289" width="9.140625" style="116"/>
    <col min="1290" max="1290" width="12.85546875" style="116" customWidth="1"/>
    <col min="1291" max="1294" width="9.140625" style="116"/>
    <col min="1295" max="1295" width="11.7109375" style="116" customWidth="1"/>
    <col min="1296" max="1296" width="14" style="116" customWidth="1"/>
    <col min="1297" max="1537" width="9.140625" style="116"/>
    <col min="1538" max="1538" width="12.140625" style="116" bestFit="1" customWidth="1"/>
    <col min="1539" max="1540" width="9.140625" style="116"/>
    <col min="1541" max="1541" width="11.140625" style="116" customWidth="1"/>
    <col min="1542" max="1542" width="11.85546875" style="116" customWidth="1"/>
    <col min="1543" max="1543" width="12.28515625" style="116" customWidth="1"/>
    <col min="1544" max="1544" width="11.7109375" style="116" customWidth="1"/>
    <col min="1545" max="1545" width="9.140625" style="116"/>
    <col min="1546" max="1546" width="12.85546875" style="116" customWidth="1"/>
    <col min="1547" max="1550" width="9.140625" style="116"/>
    <col min="1551" max="1551" width="11.7109375" style="116" customWidth="1"/>
    <col min="1552" max="1552" width="14" style="116" customWidth="1"/>
    <col min="1553" max="1793" width="9.140625" style="116"/>
    <col min="1794" max="1794" width="12.140625" style="116" bestFit="1" customWidth="1"/>
    <col min="1795" max="1796" width="9.140625" style="116"/>
    <col min="1797" max="1797" width="11.140625" style="116" customWidth="1"/>
    <col min="1798" max="1798" width="11.85546875" style="116" customWidth="1"/>
    <col min="1799" max="1799" width="12.28515625" style="116" customWidth="1"/>
    <col min="1800" max="1800" width="11.7109375" style="116" customWidth="1"/>
    <col min="1801" max="1801" width="9.140625" style="116"/>
    <col min="1802" max="1802" width="12.85546875" style="116" customWidth="1"/>
    <col min="1803" max="1806" width="9.140625" style="116"/>
    <col min="1807" max="1807" width="11.7109375" style="116" customWidth="1"/>
    <col min="1808" max="1808" width="14" style="116" customWidth="1"/>
    <col min="1809" max="2049" width="9.140625" style="116"/>
    <col min="2050" max="2050" width="12.140625" style="116" bestFit="1" customWidth="1"/>
    <col min="2051" max="2052" width="9.140625" style="116"/>
    <col min="2053" max="2053" width="11.140625" style="116" customWidth="1"/>
    <col min="2054" max="2054" width="11.85546875" style="116" customWidth="1"/>
    <col min="2055" max="2055" width="12.28515625" style="116" customWidth="1"/>
    <col min="2056" max="2056" width="11.7109375" style="116" customWidth="1"/>
    <col min="2057" max="2057" width="9.140625" style="116"/>
    <col min="2058" max="2058" width="12.85546875" style="116" customWidth="1"/>
    <col min="2059" max="2062" width="9.140625" style="116"/>
    <col min="2063" max="2063" width="11.7109375" style="116" customWidth="1"/>
    <col min="2064" max="2064" width="14" style="116" customWidth="1"/>
    <col min="2065" max="2305" width="9.140625" style="116"/>
    <col min="2306" max="2306" width="12.140625" style="116" bestFit="1" customWidth="1"/>
    <col min="2307" max="2308" width="9.140625" style="116"/>
    <col min="2309" max="2309" width="11.140625" style="116" customWidth="1"/>
    <col min="2310" max="2310" width="11.85546875" style="116" customWidth="1"/>
    <col min="2311" max="2311" width="12.28515625" style="116" customWidth="1"/>
    <col min="2312" max="2312" width="11.7109375" style="116" customWidth="1"/>
    <col min="2313" max="2313" width="9.140625" style="116"/>
    <col min="2314" max="2314" width="12.85546875" style="116" customWidth="1"/>
    <col min="2315" max="2318" width="9.140625" style="116"/>
    <col min="2319" max="2319" width="11.7109375" style="116" customWidth="1"/>
    <col min="2320" max="2320" width="14" style="116" customWidth="1"/>
    <col min="2321" max="2561" width="9.140625" style="116"/>
    <col min="2562" max="2562" width="12.140625" style="116" bestFit="1" customWidth="1"/>
    <col min="2563" max="2564" width="9.140625" style="116"/>
    <col min="2565" max="2565" width="11.140625" style="116" customWidth="1"/>
    <col min="2566" max="2566" width="11.85546875" style="116" customWidth="1"/>
    <col min="2567" max="2567" width="12.28515625" style="116" customWidth="1"/>
    <col min="2568" max="2568" width="11.7109375" style="116" customWidth="1"/>
    <col min="2569" max="2569" width="9.140625" style="116"/>
    <col min="2570" max="2570" width="12.85546875" style="116" customWidth="1"/>
    <col min="2571" max="2574" width="9.140625" style="116"/>
    <col min="2575" max="2575" width="11.7109375" style="116" customWidth="1"/>
    <col min="2576" max="2576" width="14" style="116" customWidth="1"/>
    <col min="2577" max="2817" width="9.140625" style="116"/>
    <col min="2818" max="2818" width="12.140625" style="116" bestFit="1" customWidth="1"/>
    <col min="2819" max="2820" width="9.140625" style="116"/>
    <col min="2821" max="2821" width="11.140625" style="116" customWidth="1"/>
    <col min="2822" max="2822" width="11.85546875" style="116" customWidth="1"/>
    <col min="2823" max="2823" width="12.28515625" style="116" customWidth="1"/>
    <col min="2824" max="2824" width="11.7109375" style="116" customWidth="1"/>
    <col min="2825" max="2825" width="9.140625" style="116"/>
    <col min="2826" max="2826" width="12.85546875" style="116" customWidth="1"/>
    <col min="2827" max="2830" width="9.140625" style="116"/>
    <col min="2831" max="2831" width="11.7109375" style="116" customWidth="1"/>
    <col min="2832" max="2832" width="14" style="116" customWidth="1"/>
    <col min="2833" max="3073" width="9.140625" style="116"/>
    <col min="3074" max="3074" width="12.140625" style="116" bestFit="1" customWidth="1"/>
    <col min="3075" max="3076" width="9.140625" style="116"/>
    <col min="3077" max="3077" width="11.140625" style="116" customWidth="1"/>
    <col min="3078" max="3078" width="11.85546875" style="116" customWidth="1"/>
    <col min="3079" max="3079" width="12.28515625" style="116" customWidth="1"/>
    <col min="3080" max="3080" width="11.7109375" style="116" customWidth="1"/>
    <col min="3081" max="3081" width="9.140625" style="116"/>
    <col min="3082" max="3082" width="12.85546875" style="116" customWidth="1"/>
    <col min="3083" max="3086" width="9.140625" style="116"/>
    <col min="3087" max="3087" width="11.7109375" style="116" customWidth="1"/>
    <col min="3088" max="3088" width="14" style="116" customWidth="1"/>
    <col min="3089" max="3329" width="9.140625" style="116"/>
    <col min="3330" max="3330" width="12.140625" style="116" bestFit="1" customWidth="1"/>
    <col min="3331" max="3332" width="9.140625" style="116"/>
    <col min="3333" max="3333" width="11.140625" style="116" customWidth="1"/>
    <col min="3334" max="3334" width="11.85546875" style="116" customWidth="1"/>
    <col min="3335" max="3335" width="12.28515625" style="116" customWidth="1"/>
    <col min="3336" max="3336" width="11.7109375" style="116" customWidth="1"/>
    <col min="3337" max="3337" width="9.140625" style="116"/>
    <col min="3338" max="3338" width="12.85546875" style="116" customWidth="1"/>
    <col min="3339" max="3342" width="9.140625" style="116"/>
    <col min="3343" max="3343" width="11.7109375" style="116" customWidth="1"/>
    <col min="3344" max="3344" width="14" style="116" customWidth="1"/>
    <col min="3345" max="3585" width="9.140625" style="116"/>
    <col min="3586" max="3586" width="12.140625" style="116" bestFit="1" customWidth="1"/>
    <col min="3587" max="3588" width="9.140625" style="116"/>
    <col min="3589" max="3589" width="11.140625" style="116" customWidth="1"/>
    <col min="3590" max="3590" width="11.85546875" style="116" customWidth="1"/>
    <col min="3591" max="3591" width="12.28515625" style="116" customWidth="1"/>
    <col min="3592" max="3592" width="11.7109375" style="116" customWidth="1"/>
    <col min="3593" max="3593" width="9.140625" style="116"/>
    <col min="3594" max="3594" width="12.85546875" style="116" customWidth="1"/>
    <col min="3595" max="3598" width="9.140625" style="116"/>
    <col min="3599" max="3599" width="11.7109375" style="116" customWidth="1"/>
    <col min="3600" max="3600" width="14" style="116" customWidth="1"/>
    <col min="3601" max="3841" width="9.140625" style="116"/>
    <col min="3842" max="3842" width="12.140625" style="116" bestFit="1" customWidth="1"/>
    <col min="3843" max="3844" width="9.140625" style="116"/>
    <col min="3845" max="3845" width="11.140625" style="116" customWidth="1"/>
    <col min="3846" max="3846" width="11.85546875" style="116" customWidth="1"/>
    <col min="3847" max="3847" width="12.28515625" style="116" customWidth="1"/>
    <col min="3848" max="3848" width="11.7109375" style="116" customWidth="1"/>
    <col min="3849" max="3849" width="9.140625" style="116"/>
    <col min="3850" max="3850" width="12.85546875" style="116" customWidth="1"/>
    <col min="3851" max="3854" width="9.140625" style="116"/>
    <col min="3855" max="3855" width="11.7109375" style="116" customWidth="1"/>
    <col min="3856" max="3856" width="14" style="116" customWidth="1"/>
    <col min="3857" max="4097" width="9.140625" style="116"/>
    <col min="4098" max="4098" width="12.140625" style="116" bestFit="1" customWidth="1"/>
    <col min="4099" max="4100" width="9.140625" style="116"/>
    <col min="4101" max="4101" width="11.140625" style="116" customWidth="1"/>
    <col min="4102" max="4102" width="11.85546875" style="116" customWidth="1"/>
    <col min="4103" max="4103" width="12.28515625" style="116" customWidth="1"/>
    <col min="4104" max="4104" width="11.7109375" style="116" customWidth="1"/>
    <col min="4105" max="4105" width="9.140625" style="116"/>
    <col min="4106" max="4106" width="12.85546875" style="116" customWidth="1"/>
    <col min="4107" max="4110" width="9.140625" style="116"/>
    <col min="4111" max="4111" width="11.7109375" style="116" customWidth="1"/>
    <col min="4112" max="4112" width="14" style="116" customWidth="1"/>
    <col min="4113" max="4353" width="9.140625" style="116"/>
    <col min="4354" max="4354" width="12.140625" style="116" bestFit="1" customWidth="1"/>
    <col min="4355" max="4356" width="9.140625" style="116"/>
    <col min="4357" max="4357" width="11.140625" style="116" customWidth="1"/>
    <col min="4358" max="4358" width="11.85546875" style="116" customWidth="1"/>
    <col min="4359" max="4359" width="12.28515625" style="116" customWidth="1"/>
    <col min="4360" max="4360" width="11.7109375" style="116" customWidth="1"/>
    <col min="4361" max="4361" width="9.140625" style="116"/>
    <col min="4362" max="4362" width="12.85546875" style="116" customWidth="1"/>
    <col min="4363" max="4366" width="9.140625" style="116"/>
    <col min="4367" max="4367" width="11.7109375" style="116" customWidth="1"/>
    <col min="4368" max="4368" width="14" style="116" customWidth="1"/>
    <col min="4369" max="4609" width="9.140625" style="116"/>
    <col min="4610" max="4610" width="12.140625" style="116" bestFit="1" customWidth="1"/>
    <col min="4611" max="4612" width="9.140625" style="116"/>
    <col min="4613" max="4613" width="11.140625" style="116" customWidth="1"/>
    <col min="4614" max="4614" width="11.85546875" style="116" customWidth="1"/>
    <col min="4615" max="4615" width="12.28515625" style="116" customWidth="1"/>
    <col min="4616" max="4616" width="11.7109375" style="116" customWidth="1"/>
    <col min="4617" max="4617" width="9.140625" style="116"/>
    <col min="4618" max="4618" width="12.85546875" style="116" customWidth="1"/>
    <col min="4619" max="4622" width="9.140625" style="116"/>
    <col min="4623" max="4623" width="11.7109375" style="116" customWidth="1"/>
    <col min="4624" max="4624" width="14" style="116" customWidth="1"/>
    <col min="4625" max="4865" width="9.140625" style="116"/>
    <col min="4866" max="4866" width="12.140625" style="116" bestFit="1" customWidth="1"/>
    <col min="4867" max="4868" width="9.140625" style="116"/>
    <col min="4869" max="4869" width="11.140625" style="116" customWidth="1"/>
    <col min="4870" max="4870" width="11.85546875" style="116" customWidth="1"/>
    <col min="4871" max="4871" width="12.28515625" style="116" customWidth="1"/>
    <col min="4872" max="4872" width="11.7109375" style="116" customWidth="1"/>
    <col min="4873" max="4873" width="9.140625" style="116"/>
    <col min="4874" max="4874" width="12.85546875" style="116" customWidth="1"/>
    <col min="4875" max="4878" width="9.140625" style="116"/>
    <col min="4879" max="4879" width="11.7109375" style="116" customWidth="1"/>
    <col min="4880" max="4880" width="14" style="116" customWidth="1"/>
    <col min="4881" max="5121" width="9.140625" style="116"/>
    <col min="5122" max="5122" width="12.140625" style="116" bestFit="1" customWidth="1"/>
    <col min="5123" max="5124" width="9.140625" style="116"/>
    <col min="5125" max="5125" width="11.140625" style="116" customWidth="1"/>
    <col min="5126" max="5126" width="11.85546875" style="116" customWidth="1"/>
    <col min="5127" max="5127" width="12.28515625" style="116" customWidth="1"/>
    <col min="5128" max="5128" width="11.7109375" style="116" customWidth="1"/>
    <col min="5129" max="5129" width="9.140625" style="116"/>
    <col min="5130" max="5130" width="12.85546875" style="116" customWidth="1"/>
    <col min="5131" max="5134" width="9.140625" style="116"/>
    <col min="5135" max="5135" width="11.7109375" style="116" customWidth="1"/>
    <col min="5136" max="5136" width="14" style="116" customWidth="1"/>
    <col min="5137" max="5377" width="9.140625" style="116"/>
    <col min="5378" max="5378" width="12.140625" style="116" bestFit="1" customWidth="1"/>
    <col min="5379" max="5380" width="9.140625" style="116"/>
    <col min="5381" max="5381" width="11.140625" style="116" customWidth="1"/>
    <col min="5382" max="5382" width="11.85546875" style="116" customWidth="1"/>
    <col min="5383" max="5383" width="12.28515625" style="116" customWidth="1"/>
    <col min="5384" max="5384" width="11.7109375" style="116" customWidth="1"/>
    <col min="5385" max="5385" width="9.140625" style="116"/>
    <col min="5386" max="5386" width="12.85546875" style="116" customWidth="1"/>
    <col min="5387" max="5390" width="9.140625" style="116"/>
    <col min="5391" max="5391" width="11.7109375" style="116" customWidth="1"/>
    <col min="5392" max="5392" width="14" style="116" customWidth="1"/>
    <col min="5393" max="5633" width="9.140625" style="116"/>
    <col min="5634" max="5634" width="12.140625" style="116" bestFit="1" customWidth="1"/>
    <col min="5635" max="5636" width="9.140625" style="116"/>
    <col min="5637" max="5637" width="11.140625" style="116" customWidth="1"/>
    <col min="5638" max="5638" width="11.85546875" style="116" customWidth="1"/>
    <col min="5639" max="5639" width="12.28515625" style="116" customWidth="1"/>
    <col min="5640" max="5640" width="11.7109375" style="116" customWidth="1"/>
    <col min="5641" max="5641" width="9.140625" style="116"/>
    <col min="5642" max="5642" width="12.85546875" style="116" customWidth="1"/>
    <col min="5643" max="5646" width="9.140625" style="116"/>
    <col min="5647" max="5647" width="11.7109375" style="116" customWidth="1"/>
    <col min="5648" max="5648" width="14" style="116" customWidth="1"/>
    <col min="5649" max="5889" width="9.140625" style="116"/>
    <col min="5890" max="5890" width="12.140625" style="116" bestFit="1" customWidth="1"/>
    <col min="5891" max="5892" width="9.140625" style="116"/>
    <col min="5893" max="5893" width="11.140625" style="116" customWidth="1"/>
    <col min="5894" max="5894" width="11.85546875" style="116" customWidth="1"/>
    <col min="5895" max="5895" width="12.28515625" style="116" customWidth="1"/>
    <col min="5896" max="5896" width="11.7109375" style="116" customWidth="1"/>
    <col min="5897" max="5897" width="9.140625" style="116"/>
    <col min="5898" max="5898" width="12.85546875" style="116" customWidth="1"/>
    <col min="5899" max="5902" width="9.140625" style="116"/>
    <col min="5903" max="5903" width="11.7109375" style="116" customWidth="1"/>
    <col min="5904" max="5904" width="14" style="116" customWidth="1"/>
    <col min="5905" max="6145" width="9.140625" style="116"/>
    <col min="6146" max="6146" width="12.140625" style="116" bestFit="1" customWidth="1"/>
    <col min="6147" max="6148" width="9.140625" style="116"/>
    <col min="6149" max="6149" width="11.140625" style="116" customWidth="1"/>
    <col min="6150" max="6150" width="11.85546875" style="116" customWidth="1"/>
    <col min="6151" max="6151" width="12.28515625" style="116" customWidth="1"/>
    <col min="6152" max="6152" width="11.7109375" style="116" customWidth="1"/>
    <col min="6153" max="6153" width="9.140625" style="116"/>
    <col min="6154" max="6154" width="12.85546875" style="116" customWidth="1"/>
    <col min="6155" max="6158" width="9.140625" style="116"/>
    <col min="6159" max="6159" width="11.7109375" style="116" customWidth="1"/>
    <col min="6160" max="6160" width="14" style="116" customWidth="1"/>
    <col min="6161" max="6401" width="9.140625" style="116"/>
    <col min="6402" max="6402" width="12.140625" style="116" bestFit="1" customWidth="1"/>
    <col min="6403" max="6404" width="9.140625" style="116"/>
    <col min="6405" max="6405" width="11.140625" style="116" customWidth="1"/>
    <col min="6406" max="6406" width="11.85546875" style="116" customWidth="1"/>
    <col min="6407" max="6407" width="12.28515625" style="116" customWidth="1"/>
    <col min="6408" max="6408" width="11.7109375" style="116" customWidth="1"/>
    <col min="6409" max="6409" width="9.140625" style="116"/>
    <col min="6410" max="6410" width="12.85546875" style="116" customWidth="1"/>
    <col min="6411" max="6414" width="9.140625" style="116"/>
    <col min="6415" max="6415" width="11.7109375" style="116" customWidth="1"/>
    <col min="6416" max="6416" width="14" style="116" customWidth="1"/>
    <col min="6417" max="6657" width="9.140625" style="116"/>
    <col min="6658" max="6658" width="12.140625" style="116" bestFit="1" customWidth="1"/>
    <col min="6659" max="6660" width="9.140625" style="116"/>
    <col min="6661" max="6661" width="11.140625" style="116" customWidth="1"/>
    <col min="6662" max="6662" width="11.85546875" style="116" customWidth="1"/>
    <col min="6663" max="6663" width="12.28515625" style="116" customWidth="1"/>
    <col min="6664" max="6664" width="11.7109375" style="116" customWidth="1"/>
    <col min="6665" max="6665" width="9.140625" style="116"/>
    <col min="6666" max="6666" width="12.85546875" style="116" customWidth="1"/>
    <col min="6667" max="6670" width="9.140625" style="116"/>
    <col min="6671" max="6671" width="11.7109375" style="116" customWidth="1"/>
    <col min="6672" max="6672" width="14" style="116" customWidth="1"/>
    <col min="6673" max="6913" width="9.140625" style="116"/>
    <col min="6914" max="6914" width="12.140625" style="116" bestFit="1" customWidth="1"/>
    <col min="6915" max="6916" width="9.140625" style="116"/>
    <col min="6917" max="6917" width="11.140625" style="116" customWidth="1"/>
    <col min="6918" max="6918" width="11.85546875" style="116" customWidth="1"/>
    <col min="6919" max="6919" width="12.28515625" style="116" customWidth="1"/>
    <col min="6920" max="6920" width="11.7109375" style="116" customWidth="1"/>
    <col min="6921" max="6921" width="9.140625" style="116"/>
    <col min="6922" max="6922" width="12.85546875" style="116" customWidth="1"/>
    <col min="6923" max="6926" width="9.140625" style="116"/>
    <col min="6927" max="6927" width="11.7109375" style="116" customWidth="1"/>
    <col min="6928" max="6928" width="14" style="116" customWidth="1"/>
    <col min="6929" max="7169" width="9.140625" style="116"/>
    <col min="7170" max="7170" width="12.140625" style="116" bestFit="1" customWidth="1"/>
    <col min="7171" max="7172" width="9.140625" style="116"/>
    <col min="7173" max="7173" width="11.140625" style="116" customWidth="1"/>
    <col min="7174" max="7174" width="11.85546875" style="116" customWidth="1"/>
    <col min="7175" max="7175" width="12.28515625" style="116" customWidth="1"/>
    <col min="7176" max="7176" width="11.7109375" style="116" customWidth="1"/>
    <col min="7177" max="7177" width="9.140625" style="116"/>
    <col min="7178" max="7178" width="12.85546875" style="116" customWidth="1"/>
    <col min="7179" max="7182" width="9.140625" style="116"/>
    <col min="7183" max="7183" width="11.7109375" style="116" customWidth="1"/>
    <col min="7184" max="7184" width="14" style="116" customWidth="1"/>
    <col min="7185" max="7425" width="9.140625" style="116"/>
    <col min="7426" max="7426" width="12.140625" style="116" bestFit="1" customWidth="1"/>
    <col min="7427" max="7428" width="9.140625" style="116"/>
    <col min="7429" max="7429" width="11.140625" style="116" customWidth="1"/>
    <col min="7430" max="7430" width="11.85546875" style="116" customWidth="1"/>
    <col min="7431" max="7431" width="12.28515625" style="116" customWidth="1"/>
    <col min="7432" max="7432" width="11.7109375" style="116" customWidth="1"/>
    <col min="7433" max="7433" width="9.140625" style="116"/>
    <col min="7434" max="7434" width="12.85546875" style="116" customWidth="1"/>
    <col min="7435" max="7438" width="9.140625" style="116"/>
    <col min="7439" max="7439" width="11.7109375" style="116" customWidth="1"/>
    <col min="7440" max="7440" width="14" style="116" customWidth="1"/>
    <col min="7441" max="7681" width="9.140625" style="116"/>
    <col min="7682" max="7682" width="12.140625" style="116" bestFit="1" customWidth="1"/>
    <col min="7683" max="7684" width="9.140625" style="116"/>
    <col min="7685" max="7685" width="11.140625" style="116" customWidth="1"/>
    <col min="7686" max="7686" width="11.85546875" style="116" customWidth="1"/>
    <col min="7687" max="7687" width="12.28515625" style="116" customWidth="1"/>
    <col min="7688" max="7688" width="11.7109375" style="116" customWidth="1"/>
    <col min="7689" max="7689" width="9.140625" style="116"/>
    <col min="7690" max="7690" width="12.85546875" style="116" customWidth="1"/>
    <col min="7691" max="7694" width="9.140625" style="116"/>
    <col min="7695" max="7695" width="11.7109375" style="116" customWidth="1"/>
    <col min="7696" max="7696" width="14" style="116" customWidth="1"/>
    <col min="7697" max="7937" width="9.140625" style="116"/>
    <col min="7938" max="7938" width="12.140625" style="116" bestFit="1" customWidth="1"/>
    <col min="7939" max="7940" width="9.140625" style="116"/>
    <col min="7941" max="7941" width="11.140625" style="116" customWidth="1"/>
    <col min="7942" max="7942" width="11.85546875" style="116" customWidth="1"/>
    <col min="7943" max="7943" width="12.28515625" style="116" customWidth="1"/>
    <col min="7944" max="7944" width="11.7109375" style="116" customWidth="1"/>
    <col min="7945" max="7945" width="9.140625" style="116"/>
    <col min="7946" max="7946" width="12.85546875" style="116" customWidth="1"/>
    <col min="7947" max="7950" width="9.140625" style="116"/>
    <col min="7951" max="7951" width="11.7109375" style="116" customWidth="1"/>
    <col min="7952" max="7952" width="14" style="116" customWidth="1"/>
    <col min="7953" max="8193" width="9.140625" style="116"/>
    <col min="8194" max="8194" width="12.140625" style="116" bestFit="1" customWidth="1"/>
    <col min="8195" max="8196" width="9.140625" style="116"/>
    <col min="8197" max="8197" width="11.140625" style="116" customWidth="1"/>
    <col min="8198" max="8198" width="11.85546875" style="116" customWidth="1"/>
    <col min="8199" max="8199" width="12.28515625" style="116" customWidth="1"/>
    <col min="8200" max="8200" width="11.7109375" style="116" customWidth="1"/>
    <col min="8201" max="8201" width="9.140625" style="116"/>
    <col min="8202" max="8202" width="12.85546875" style="116" customWidth="1"/>
    <col min="8203" max="8206" width="9.140625" style="116"/>
    <col min="8207" max="8207" width="11.7109375" style="116" customWidth="1"/>
    <col min="8208" max="8208" width="14" style="116" customWidth="1"/>
    <col min="8209" max="8449" width="9.140625" style="116"/>
    <col min="8450" max="8450" width="12.140625" style="116" bestFit="1" customWidth="1"/>
    <col min="8451" max="8452" width="9.140625" style="116"/>
    <col min="8453" max="8453" width="11.140625" style="116" customWidth="1"/>
    <col min="8454" max="8454" width="11.85546875" style="116" customWidth="1"/>
    <col min="8455" max="8455" width="12.28515625" style="116" customWidth="1"/>
    <col min="8456" max="8456" width="11.7109375" style="116" customWidth="1"/>
    <col min="8457" max="8457" width="9.140625" style="116"/>
    <col min="8458" max="8458" width="12.85546875" style="116" customWidth="1"/>
    <col min="8459" max="8462" width="9.140625" style="116"/>
    <col min="8463" max="8463" width="11.7109375" style="116" customWidth="1"/>
    <col min="8464" max="8464" width="14" style="116" customWidth="1"/>
    <col min="8465" max="8705" width="9.140625" style="116"/>
    <col min="8706" max="8706" width="12.140625" style="116" bestFit="1" customWidth="1"/>
    <col min="8707" max="8708" width="9.140625" style="116"/>
    <col min="8709" max="8709" width="11.140625" style="116" customWidth="1"/>
    <col min="8710" max="8710" width="11.85546875" style="116" customWidth="1"/>
    <col min="8711" max="8711" width="12.28515625" style="116" customWidth="1"/>
    <col min="8712" max="8712" width="11.7109375" style="116" customWidth="1"/>
    <col min="8713" max="8713" width="9.140625" style="116"/>
    <col min="8714" max="8714" width="12.85546875" style="116" customWidth="1"/>
    <col min="8715" max="8718" width="9.140625" style="116"/>
    <col min="8719" max="8719" width="11.7109375" style="116" customWidth="1"/>
    <col min="8720" max="8720" width="14" style="116" customWidth="1"/>
    <col min="8721" max="8961" width="9.140625" style="116"/>
    <col min="8962" max="8962" width="12.140625" style="116" bestFit="1" customWidth="1"/>
    <col min="8963" max="8964" width="9.140625" style="116"/>
    <col min="8965" max="8965" width="11.140625" style="116" customWidth="1"/>
    <col min="8966" max="8966" width="11.85546875" style="116" customWidth="1"/>
    <col min="8967" max="8967" width="12.28515625" style="116" customWidth="1"/>
    <col min="8968" max="8968" width="11.7109375" style="116" customWidth="1"/>
    <col min="8969" max="8969" width="9.140625" style="116"/>
    <col min="8970" max="8970" width="12.85546875" style="116" customWidth="1"/>
    <col min="8971" max="8974" width="9.140625" style="116"/>
    <col min="8975" max="8975" width="11.7109375" style="116" customWidth="1"/>
    <col min="8976" max="8976" width="14" style="116" customWidth="1"/>
    <col min="8977" max="9217" width="9.140625" style="116"/>
    <col min="9218" max="9218" width="12.140625" style="116" bestFit="1" customWidth="1"/>
    <col min="9219" max="9220" width="9.140625" style="116"/>
    <col min="9221" max="9221" width="11.140625" style="116" customWidth="1"/>
    <col min="9222" max="9222" width="11.85546875" style="116" customWidth="1"/>
    <col min="9223" max="9223" width="12.28515625" style="116" customWidth="1"/>
    <col min="9224" max="9224" width="11.7109375" style="116" customWidth="1"/>
    <col min="9225" max="9225" width="9.140625" style="116"/>
    <col min="9226" max="9226" width="12.85546875" style="116" customWidth="1"/>
    <col min="9227" max="9230" width="9.140625" style="116"/>
    <col min="9231" max="9231" width="11.7109375" style="116" customWidth="1"/>
    <col min="9232" max="9232" width="14" style="116" customWidth="1"/>
    <col min="9233" max="9473" width="9.140625" style="116"/>
    <col min="9474" max="9474" width="12.140625" style="116" bestFit="1" customWidth="1"/>
    <col min="9475" max="9476" width="9.140625" style="116"/>
    <col min="9477" max="9477" width="11.140625" style="116" customWidth="1"/>
    <col min="9478" max="9478" width="11.85546875" style="116" customWidth="1"/>
    <col min="9479" max="9479" width="12.28515625" style="116" customWidth="1"/>
    <col min="9480" max="9480" width="11.7109375" style="116" customWidth="1"/>
    <col min="9481" max="9481" width="9.140625" style="116"/>
    <col min="9482" max="9482" width="12.85546875" style="116" customWidth="1"/>
    <col min="9483" max="9486" width="9.140625" style="116"/>
    <col min="9487" max="9487" width="11.7109375" style="116" customWidth="1"/>
    <col min="9488" max="9488" width="14" style="116" customWidth="1"/>
    <col min="9489" max="9729" width="9.140625" style="116"/>
    <col min="9730" max="9730" width="12.140625" style="116" bestFit="1" customWidth="1"/>
    <col min="9731" max="9732" width="9.140625" style="116"/>
    <col min="9733" max="9733" width="11.140625" style="116" customWidth="1"/>
    <col min="9734" max="9734" width="11.85546875" style="116" customWidth="1"/>
    <col min="9735" max="9735" width="12.28515625" style="116" customWidth="1"/>
    <col min="9736" max="9736" width="11.7109375" style="116" customWidth="1"/>
    <col min="9737" max="9737" width="9.140625" style="116"/>
    <col min="9738" max="9738" width="12.85546875" style="116" customWidth="1"/>
    <col min="9739" max="9742" width="9.140625" style="116"/>
    <col min="9743" max="9743" width="11.7109375" style="116" customWidth="1"/>
    <col min="9744" max="9744" width="14" style="116" customWidth="1"/>
    <col min="9745" max="9985" width="9.140625" style="116"/>
    <col min="9986" max="9986" width="12.140625" style="116" bestFit="1" customWidth="1"/>
    <col min="9987" max="9988" width="9.140625" style="116"/>
    <col min="9989" max="9989" width="11.140625" style="116" customWidth="1"/>
    <col min="9990" max="9990" width="11.85546875" style="116" customWidth="1"/>
    <col min="9991" max="9991" width="12.28515625" style="116" customWidth="1"/>
    <col min="9992" max="9992" width="11.7109375" style="116" customWidth="1"/>
    <col min="9993" max="9993" width="9.140625" style="116"/>
    <col min="9994" max="9994" width="12.85546875" style="116" customWidth="1"/>
    <col min="9995" max="9998" width="9.140625" style="116"/>
    <col min="9999" max="9999" width="11.7109375" style="116" customWidth="1"/>
    <col min="10000" max="10000" width="14" style="116" customWidth="1"/>
    <col min="10001" max="10241" width="9.140625" style="116"/>
    <col min="10242" max="10242" width="12.140625" style="116" bestFit="1" customWidth="1"/>
    <col min="10243" max="10244" width="9.140625" style="116"/>
    <col min="10245" max="10245" width="11.140625" style="116" customWidth="1"/>
    <col min="10246" max="10246" width="11.85546875" style="116" customWidth="1"/>
    <col min="10247" max="10247" width="12.28515625" style="116" customWidth="1"/>
    <col min="10248" max="10248" width="11.7109375" style="116" customWidth="1"/>
    <col min="10249" max="10249" width="9.140625" style="116"/>
    <col min="10250" max="10250" width="12.85546875" style="116" customWidth="1"/>
    <col min="10251" max="10254" width="9.140625" style="116"/>
    <col min="10255" max="10255" width="11.7109375" style="116" customWidth="1"/>
    <col min="10256" max="10256" width="14" style="116" customWidth="1"/>
    <col min="10257" max="10497" width="9.140625" style="116"/>
    <col min="10498" max="10498" width="12.140625" style="116" bestFit="1" customWidth="1"/>
    <col min="10499" max="10500" width="9.140625" style="116"/>
    <col min="10501" max="10501" width="11.140625" style="116" customWidth="1"/>
    <col min="10502" max="10502" width="11.85546875" style="116" customWidth="1"/>
    <col min="10503" max="10503" width="12.28515625" style="116" customWidth="1"/>
    <col min="10504" max="10504" width="11.7109375" style="116" customWidth="1"/>
    <col min="10505" max="10505" width="9.140625" style="116"/>
    <col min="10506" max="10506" width="12.85546875" style="116" customWidth="1"/>
    <col min="10507" max="10510" width="9.140625" style="116"/>
    <col min="10511" max="10511" width="11.7109375" style="116" customWidth="1"/>
    <col min="10512" max="10512" width="14" style="116" customWidth="1"/>
    <col min="10513" max="10753" width="9.140625" style="116"/>
    <col min="10754" max="10754" width="12.140625" style="116" bestFit="1" customWidth="1"/>
    <col min="10755" max="10756" width="9.140625" style="116"/>
    <col min="10757" max="10757" width="11.140625" style="116" customWidth="1"/>
    <col min="10758" max="10758" width="11.85546875" style="116" customWidth="1"/>
    <col min="10759" max="10759" width="12.28515625" style="116" customWidth="1"/>
    <col min="10760" max="10760" width="11.7109375" style="116" customWidth="1"/>
    <col min="10761" max="10761" width="9.140625" style="116"/>
    <col min="10762" max="10762" width="12.85546875" style="116" customWidth="1"/>
    <col min="10763" max="10766" width="9.140625" style="116"/>
    <col min="10767" max="10767" width="11.7109375" style="116" customWidth="1"/>
    <col min="10768" max="10768" width="14" style="116" customWidth="1"/>
    <col min="10769" max="11009" width="9.140625" style="116"/>
    <col min="11010" max="11010" width="12.140625" style="116" bestFit="1" customWidth="1"/>
    <col min="11011" max="11012" width="9.140625" style="116"/>
    <col min="11013" max="11013" width="11.140625" style="116" customWidth="1"/>
    <col min="11014" max="11014" width="11.85546875" style="116" customWidth="1"/>
    <col min="11015" max="11015" width="12.28515625" style="116" customWidth="1"/>
    <col min="11016" max="11016" width="11.7109375" style="116" customWidth="1"/>
    <col min="11017" max="11017" width="9.140625" style="116"/>
    <col min="11018" max="11018" width="12.85546875" style="116" customWidth="1"/>
    <col min="11019" max="11022" width="9.140625" style="116"/>
    <col min="11023" max="11023" width="11.7109375" style="116" customWidth="1"/>
    <col min="11024" max="11024" width="14" style="116" customWidth="1"/>
    <col min="11025" max="11265" width="9.140625" style="116"/>
    <col min="11266" max="11266" width="12.140625" style="116" bestFit="1" customWidth="1"/>
    <col min="11267" max="11268" width="9.140625" style="116"/>
    <col min="11269" max="11269" width="11.140625" style="116" customWidth="1"/>
    <col min="11270" max="11270" width="11.85546875" style="116" customWidth="1"/>
    <col min="11271" max="11271" width="12.28515625" style="116" customWidth="1"/>
    <col min="11272" max="11272" width="11.7109375" style="116" customWidth="1"/>
    <col min="11273" max="11273" width="9.140625" style="116"/>
    <col min="11274" max="11274" width="12.85546875" style="116" customWidth="1"/>
    <col min="11275" max="11278" width="9.140625" style="116"/>
    <col min="11279" max="11279" width="11.7109375" style="116" customWidth="1"/>
    <col min="11280" max="11280" width="14" style="116" customWidth="1"/>
    <col min="11281" max="11521" width="9.140625" style="116"/>
    <col min="11522" max="11522" width="12.140625" style="116" bestFit="1" customWidth="1"/>
    <col min="11523" max="11524" width="9.140625" style="116"/>
    <col min="11525" max="11525" width="11.140625" style="116" customWidth="1"/>
    <col min="11526" max="11526" width="11.85546875" style="116" customWidth="1"/>
    <col min="11527" max="11527" width="12.28515625" style="116" customWidth="1"/>
    <col min="11528" max="11528" width="11.7109375" style="116" customWidth="1"/>
    <col min="11529" max="11529" width="9.140625" style="116"/>
    <col min="11530" max="11530" width="12.85546875" style="116" customWidth="1"/>
    <col min="11531" max="11534" width="9.140625" style="116"/>
    <col min="11535" max="11535" width="11.7109375" style="116" customWidth="1"/>
    <col min="11536" max="11536" width="14" style="116" customWidth="1"/>
    <col min="11537" max="11777" width="9.140625" style="116"/>
    <col min="11778" max="11778" width="12.140625" style="116" bestFit="1" customWidth="1"/>
    <col min="11779" max="11780" width="9.140625" style="116"/>
    <col min="11781" max="11781" width="11.140625" style="116" customWidth="1"/>
    <col min="11782" max="11782" width="11.85546875" style="116" customWidth="1"/>
    <col min="11783" max="11783" width="12.28515625" style="116" customWidth="1"/>
    <col min="11784" max="11784" width="11.7109375" style="116" customWidth="1"/>
    <col min="11785" max="11785" width="9.140625" style="116"/>
    <col min="11786" max="11786" width="12.85546875" style="116" customWidth="1"/>
    <col min="11787" max="11790" width="9.140625" style="116"/>
    <col min="11791" max="11791" width="11.7109375" style="116" customWidth="1"/>
    <col min="11792" max="11792" width="14" style="116" customWidth="1"/>
    <col min="11793" max="12033" width="9.140625" style="116"/>
    <col min="12034" max="12034" width="12.140625" style="116" bestFit="1" customWidth="1"/>
    <col min="12035" max="12036" width="9.140625" style="116"/>
    <col min="12037" max="12037" width="11.140625" style="116" customWidth="1"/>
    <col min="12038" max="12038" width="11.85546875" style="116" customWidth="1"/>
    <col min="12039" max="12039" width="12.28515625" style="116" customWidth="1"/>
    <col min="12040" max="12040" width="11.7109375" style="116" customWidth="1"/>
    <col min="12041" max="12041" width="9.140625" style="116"/>
    <col min="12042" max="12042" width="12.85546875" style="116" customWidth="1"/>
    <col min="12043" max="12046" width="9.140625" style="116"/>
    <col min="12047" max="12047" width="11.7109375" style="116" customWidth="1"/>
    <col min="12048" max="12048" width="14" style="116" customWidth="1"/>
    <col min="12049" max="12289" width="9.140625" style="116"/>
    <col min="12290" max="12290" width="12.140625" style="116" bestFit="1" customWidth="1"/>
    <col min="12291" max="12292" width="9.140625" style="116"/>
    <col min="12293" max="12293" width="11.140625" style="116" customWidth="1"/>
    <col min="12294" max="12294" width="11.85546875" style="116" customWidth="1"/>
    <col min="12295" max="12295" width="12.28515625" style="116" customWidth="1"/>
    <col min="12296" max="12296" width="11.7109375" style="116" customWidth="1"/>
    <col min="12297" max="12297" width="9.140625" style="116"/>
    <col min="12298" max="12298" width="12.85546875" style="116" customWidth="1"/>
    <col min="12299" max="12302" width="9.140625" style="116"/>
    <col min="12303" max="12303" width="11.7109375" style="116" customWidth="1"/>
    <col min="12304" max="12304" width="14" style="116" customWidth="1"/>
    <col min="12305" max="12545" width="9.140625" style="116"/>
    <col min="12546" max="12546" width="12.140625" style="116" bestFit="1" customWidth="1"/>
    <col min="12547" max="12548" width="9.140625" style="116"/>
    <col min="12549" max="12549" width="11.140625" style="116" customWidth="1"/>
    <col min="12550" max="12550" width="11.85546875" style="116" customWidth="1"/>
    <col min="12551" max="12551" width="12.28515625" style="116" customWidth="1"/>
    <col min="12552" max="12552" width="11.7109375" style="116" customWidth="1"/>
    <col min="12553" max="12553" width="9.140625" style="116"/>
    <col min="12554" max="12554" width="12.85546875" style="116" customWidth="1"/>
    <col min="12555" max="12558" width="9.140625" style="116"/>
    <col min="12559" max="12559" width="11.7109375" style="116" customWidth="1"/>
    <col min="12560" max="12560" width="14" style="116" customWidth="1"/>
    <col min="12561" max="12801" width="9.140625" style="116"/>
    <col min="12802" max="12802" width="12.140625" style="116" bestFit="1" customWidth="1"/>
    <col min="12803" max="12804" width="9.140625" style="116"/>
    <col min="12805" max="12805" width="11.140625" style="116" customWidth="1"/>
    <col min="12806" max="12806" width="11.85546875" style="116" customWidth="1"/>
    <col min="12807" max="12807" width="12.28515625" style="116" customWidth="1"/>
    <col min="12808" max="12808" width="11.7109375" style="116" customWidth="1"/>
    <col min="12809" max="12809" width="9.140625" style="116"/>
    <col min="12810" max="12810" width="12.85546875" style="116" customWidth="1"/>
    <col min="12811" max="12814" width="9.140625" style="116"/>
    <col min="12815" max="12815" width="11.7109375" style="116" customWidth="1"/>
    <col min="12816" max="12816" width="14" style="116" customWidth="1"/>
    <col min="12817" max="13057" width="9.140625" style="116"/>
    <col min="13058" max="13058" width="12.140625" style="116" bestFit="1" customWidth="1"/>
    <col min="13059" max="13060" width="9.140625" style="116"/>
    <col min="13061" max="13061" width="11.140625" style="116" customWidth="1"/>
    <col min="13062" max="13062" width="11.85546875" style="116" customWidth="1"/>
    <col min="13063" max="13063" width="12.28515625" style="116" customWidth="1"/>
    <col min="13064" max="13064" width="11.7109375" style="116" customWidth="1"/>
    <col min="13065" max="13065" width="9.140625" style="116"/>
    <col min="13066" max="13066" width="12.85546875" style="116" customWidth="1"/>
    <col min="13067" max="13070" width="9.140625" style="116"/>
    <col min="13071" max="13071" width="11.7109375" style="116" customWidth="1"/>
    <col min="13072" max="13072" width="14" style="116" customWidth="1"/>
    <col min="13073" max="13313" width="9.140625" style="116"/>
    <col min="13314" max="13314" width="12.140625" style="116" bestFit="1" customWidth="1"/>
    <col min="13315" max="13316" width="9.140625" style="116"/>
    <col min="13317" max="13317" width="11.140625" style="116" customWidth="1"/>
    <col min="13318" max="13318" width="11.85546875" style="116" customWidth="1"/>
    <col min="13319" max="13319" width="12.28515625" style="116" customWidth="1"/>
    <col min="13320" max="13320" width="11.7109375" style="116" customWidth="1"/>
    <col min="13321" max="13321" width="9.140625" style="116"/>
    <col min="13322" max="13322" width="12.85546875" style="116" customWidth="1"/>
    <col min="13323" max="13326" width="9.140625" style="116"/>
    <col min="13327" max="13327" width="11.7109375" style="116" customWidth="1"/>
    <col min="13328" max="13328" width="14" style="116" customWidth="1"/>
    <col min="13329" max="13569" width="9.140625" style="116"/>
    <col min="13570" max="13570" width="12.140625" style="116" bestFit="1" customWidth="1"/>
    <col min="13571" max="13572" width="9.140625" style="116"/>
    <col min="13573" max="13573" width="11.140625" style="116" customWidth="1"/>
    <col min="13574" max="13574" width="11.85546875" style="116" customWidth="1"/>
    <col min="13575" max="13575" width="12.28515625" style="116" customWidth="1"/>
    <col min="13576" max="13576" width="11.7109375" style="116" customWidth="1"/>
    <col min="13577" max="13577" width="9.140625" style="116"/>
    <col min="13578" max="13578" width="12.85546875" style="116" customWidth="1"/>
    <col min="13579" max="13582" width="9.140625" style="116"/>
    <col min="13583" max="13583" width="11.7109375" style="116" customWidth="1"/>
    <col min="13584" max="13584" width="14" style="116" customWidth="1"/>
    <col min="13585" max="13825" width="9.140625" style="116"/>
    <col min="13826" max="13826" width="12.140625" style="116" bestFit="1" customWidth="1"/>
    <col min="13827" max="13828" width="9.140625" style="116"/>
    <col min="13829" max="13829" width="11.140625" style="116" customWidth="1"/>
    <col min="13830" max="13830" width="11.85546875" style="116" customWidth="1"/>
    <col min="13831" max="13831" width="12.28515625" style="116" customWidth="1"/>
    <col min="13832" max="13832" width="11.7109375" style="116" customWidth="1"/>
    <col min="13833" max="13833" width="9.140625" style="116"/>
    <col min="13834" max="13834" width="12.85546875" style="116" customWidth="1"/>
    <col min="13835" max="13838" width="9.140625" style="116"/>
    <col min="13839" max="13839" width="11.7109375" style="116" customWidth="1"/>
    <col min="13840" max="13840" width="14" style="116" customWidth="1"/>
    <col min="13841" max="14081" width="9.140625" style="116"/>
    <col min="14082" max="14082" width="12.140625" style="116" bestFit="1" customWidth="1"/>
    <col min="14083" max="14084" width="9.140625" style="116"/>
    <col min="14085" max="14085" width="11.140625" style="116" customWidth="1"/>
    <col min="14086" max="14086" width="11.85546875" style="116" customWidth="1"/>
    <col min="14087" max="14087" width="12.28515625" style="116" customWidth="1"/>
    <col min="14088" max="14088" width="11.7109375" style="116" customWidth="1"/>
    <col min="14089" max="14089" width="9.140625" style="116"/>
    <col min="14090" max="14090" width="12.85546875" style="116" customWidth="1"/>
    <col min="14091" max="14094" width="9.140625" style="116"/>
    <col min="14095" max="14095" width="11.7109375" style="116" customWidth="1"/>
    <col min="14096" max="14096" width="14" style="116" customWidth="1"/>
    <col min="14097" max="14337" width="9.140625" style="116"/>
    <col min="14338" max="14338" width="12.140625" style="116" bestFit="1" customWidth="1"/>
    <col min="14339" max="14340" width="9.140625" style="116"/>
    <col min="14341" max="14341" width="11.140625" style="116" customWidth="1"/>
    <col min="14342" max="14342" width="11.85546875" style="116" customWidth="1"/>
    <col min="14343" max="14343" width="12.28515625" style="116" customWidth="1"/>
    <col min="14344" max="14344" width="11.7109375" style="116" customWidth="1"/>
    <col min="14345" max="14345" width="9.140625" style="116"/>
    <col min="14346" max="14346" width="12.85546875" style="116" customWidth="1"/>
    <col min="14347" max="14350" width="9.140625" style="116"/>
    <col min="14351" max="14351" width="11.7109375" style="116" customWidth="1"/>
    <col min="14352" max="14352" width="14" style="116" customWidth="1"/>
    <col min="14353" max="14593" width="9.140625" style="116"/>
    <col min="14594" max="14594" width="12.140625" style="116" bestFit="1" customWidth="1"/>
    <col min="14595" max="14596" width="9.140625" style="116"/>
    <col min="14597" max="14597" width="11.140625" style="116" customWidth="1"/>
    <col min="14598" max="14598" width="11.85546875" style="116" customWidth="1"/>
    <col min="14599" max="14599" width="12.28515625" style="116" customWidth="1"/>
    <col min="14600" max="14600" width="11.7109375" style="116" customWidth="1"/>
    <col min="14601" max="14601" width="9.140625" style="116"/>
    <col min="14602" max="14602" width="12.85546875" style="116" customWidth="1"/>
    <col min="14603" max="14606" width="9.140625" style="116"/>
    <col min="14607" max="14607" width="11.7109375" style="116" customWidth="1"/>
    <col min="14608" max="14608" width="14" style="116" customWidth="1"/>
    <col min="14609" max="14849" width="9.140625" style="116"/>
    <col min="14850" max="14850" width="12.140625" style="116" bestFit="1" customWidth="1"/>
    <col min="14851" max="14852" width="9.140625" style="116"/>
    <col min="14853" max="14853" width="11.140625" style="116" customWidth="1"/>
    <col min="14854" max="14854" width="11.85546875" style="116" customWidth="1"/>
    <col min="14855" max="14855" width="12.28515625" style="116" customWidth="1"/>
    <col min="14856" max="14856" width="11.7109375" style="116" customWidth="1"/>
    <col min="14857" max="14857" width="9.140625" style="116"/>
    <col min="14858" max="14858" width="12.85546875" style="116" customWidth="1"/>
    <col min="14859" max="14862" width="9.140625" style="116"/>
    <col min="14863" max="14863" width="11.7109375" style="116" customWidth="1"/>
    <col min="14864" max="14864" width="14" style="116" customWidth="1"/>
    <col min="14865" max="15105" width="9.140625" style="116"/>
    <col min="15106" max="15106" width="12.140625" style="116" bestFit="1" customWidth="1"/>
    <col min="15107" max="15108" width="9.140625" style="116"/>
    <col min="15109" max="15109" width="11.140625" style="116" customWidth="1"/>
    <col min="15110" max="15110" width="11.85546875" style="116" customWidth="1"/>
    <col min="15111" max="15111" width="12.28515625" style="116" customWidth="1"/>
    <col min="15112" max="15112" width="11.7109375" style="116" customWidth="1"/>
    <col min="15113" max="15113" width="9.140625" style="116"/>
    <col min="15114" max="15114" width="12.85546875" style="116" customWidth="1"/>
    <col min="15115" max="15118" width="9.140625" style="116"/>
    <col min="15119" max="15119" width="11.7109375" style="116" customWidth="1"/>
    <col min="15120" max="15120" width="14" style="116" customWidth="1"/>
    <col min="15121" max="15361" width="9.140625" style="116"/>
    <col min="15362" max="15362" width="12.140625" style="116" bestFit="1" customWidth="1"/>
    <col min="15363" max="15364" width="9.140625" style="116"/>
    <col min="15365" max="15365" width="11.140625" style="116" customWidth="1"/>
    <col min="15366" max="15366" width="11.85546875" style="116" customWidth="1"/>
    <col min="15367" max="15367" width="12.28515625" style="116" customWidth="1"/>
    <col min="15368" max="15368" width="11.7109375" style="116" customWidth="1"/>
    <col min="15369" max="15369" width="9.140625" style="116"/>
    <col min="15370" max="15370" width="12.85546875" style="116" customWidth="1"/>
    <col min="15371" max="15374" width="9.140625" style="116"/>
    <col min="15375" max="15375" width="11.7109375" style="116" customWidth="1"/>
    <col min="15376" max="15376" width="14" style="116" customWidth="1"/>
    <col min="15377" max="15617" width="9.140625" style="116"/>
    <col min="15618" max="15618" width="12.140625" style="116" bestFit="1" customWidth="1"/>
    <col min="15619" max="15620" width="9.140625" style="116"/>
    <col min="15621" max="15621" width="11.140625" style="116" customWidth="1"/>
    <col min="15622" max="15622" width="11.85546875" style="116" customWidth="1"/>
    <col min="15623" max="15623" width="12.28515625" style="116" customWidth="1"/>
    <col min="15624" max="15624" width="11.7109375" style="116" customWidth="1"/>
    <col min="15625" max="15625" width="9.140625" style="116"/>
    <col min="15626" max="15626" width="12.85546875" style="116" customWidth="1"/>
    <col min="15627" max="15630" width="9.140625" style="116"/>
    <col min="15631" max="15631" width="11.7109375" style="116" customWidth="1"/>
    <col min="15632" max="15632" width="14" style="116" customWidth="1"/>
    <col min="15633" max="15873" width="9.140625" style="116"/>
    <col min="15874" max="15874" width="12.140625" style="116" bestFit="1" customWidth="1"/>
    <col min="15875" max="15876" width="9.140625" style="116"/>
    <col min="15877" max="15877" width="11.140625" style="116" customWidth="1"/>
    <col min="15878" max="15878" width="11.85546875" style="116" customWidth="1"/>
    <col min="15879" max="15879" width="12.28515625" style="116" customWidth="1"/>
    <col min="15880" max="15880" width="11.7109375" style="116" customWidth="1"/>
    <col min="15881" max="15881" width="9.140625" style="116"/>
    <col min="15882" max="15882" width="12.85546875" style="116" customWidth="1"/>
    <col min="15883" max="15886" width="9.140625" style="116"/>
    <col min="15887" max="15887" width="11.7109375" style="116" customWidth="1"/>
    <col min="15888" max="15888" width="14" style="116" customWidth="1"/>
    <col min="15889" max="16129" width="9.140625" style="116"/>
    <col min="16130" max="16130" width="12.140625" style="116" bestFit="1" customWidth="1"/>
    <col min="16131" max="16132" width="9.140625" style="116"/>
    <col min="16133" max="16133" width="11.140625" style="116" customWidth="1"/>
    <col min="16134" max="16134" width="11.85546875" style="116" customWidth="1"/>
    <col min="16135" max="16135" width="12.28515625" style="116" customWidth="1"/>
    <col min="16136" max="16136" width="11.7109375" style="116" customWidth="1"/>
    <col min="16137" max="16137" width="9.140625" style="116"/>
    <col min="16138" max="16138" width="12.85546875" style="116" customWidth="1"/>
    <col min="16139" max="16142" width="9.140625" style="116"/>
    <col min="16143" max="16143" width="11.7109375" style="116" customWidth="1"/>
    <col min="16144" max="16144" width="14" style="116" customWidth="1"/>
    <col min="16145" max="16384" width="9.140625" style="116"/>
  </cols>
  <sheetData>
    <row r="1" spans="1:45">
      <c r="A1" s="211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</row>
    <row r="2" spans="1:45">
      <c r="A2" s="210" t="s">
        <v>167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 t="str">
        <f>A2</f>
        <v>Analysis of Assumed Loss and Loss Adjustment Expense Liabilities</v>
      </c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</row>
    <row r="3" spans="1:45">
      <c r="A3" s="210" t="s">
        <v>217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 t="str">
        <f>A3</f>
        <v>Evaluated as of September 30, 2010</v>
      </c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</row>
    <row r="5" spans="1:45">
      <c r="A5" s="210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</row>
    <row r="6" spans="1:45">
      <c r="M6" s="117" t="s">
        <v>168</v>
      </c>
      <c r="AD6" s="117" t="s">
        <v>168</v>
      </c>
    </row>
    <row r="7" spans="1:45">
      <c r="M7" s="117">
        <v>6.2</v>
      </c>
      <c r="AD7" s="117">
        <v>6.3</v>
      </c>
    </row>
    <row r="10" spans="1:45">
      <c r="A10" s="211" t="s">
        <v>213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 t="s">
        <v>169</v>
      </c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</row>
    <row r="11" spans="1:45">
      <c r="A11" s="211" t="s">
        <v>170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 t="s">
        <v>171</v>
      </c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</row>
    <row r="12" spans="1:4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</row>
    <row r="13" spans="1:45">
      <c r="C13" s="119">
        <v>12</v>
      </c>
      <c r="D13" s="119">
        <f>C13+12</f>
        <v>24</v>
      </c>
      <c r="E13" s="119">
        <f t="shared" ref="E13:AP13" si="0">D13+12</f>
        <v>36</v>
      </c>
      <c r="F13" s="119">
        <f t="shared" si="0"/>
        <v>48</v>
      </c>
      <c r="G13" s="119">
        <f t="shared" si="0"/>
        <v>60</v>
      </c>
      <c r="H13" s="119">
        <f t="shared" si="0"/>
        <v>72</v>
      </c>
      <c r="I13" s="119">
        <f t="shared" si="0"/>
        <v>84</v>
      </c>
      <c r="J13" s="119">
        <f t="shared" si="0"/>
        <v>96</v>
      </c>
      <c r="K13" s="119">
        <f t="shared" si="0"/>
        <v>108</v>
      </c>
      <c r="L13" s="119">
        <f t="shared" si="0"/>
        <v>120</v>
      </c>
      <c r="M13" s="119">
        <f t="shared" si="0"/>
        <v>132</v>
      </c>
      <c r="N13" s="119">
        <f t="shared" si="0"/>
        <v>144</v>
      </c>
      <c r="O13" s="119">
        <f t="shared" si="0"/>
        <v>156</v>
      </c>
      <c r="P13" s="119">
        <f t="shared" si="0"/>
        <v>168</v>
      </c>
      <c r="Q13" s="119">
        <f t="shared" si="0"/>
        <v>180</v>
      </c>
      <c r="R13" s="119">
        <f t="shared" si="0"/>
        <v>192</v>
      </c>
      <c r="S13" s="119">
        <f t="shared" si="0"/>
        <v>204</v>
      </c>
      <c r="T13" s="119">
        <f t="shared" si="0"/>
        <v>216</v>
      </c>
      <c r="U13" s="119">
        <f t="shared" si="0"/>
        <v>228</v>
      </c>
      <c r="V13" s="119">
        <f t="shared" si="0"/>
        <v>240</v>
      </c>
      <c r="W13" s="119">
        <f t="shared" si="0"/>
        <v>252</v>
      </c>
      <c r="X13" s="119">
        <f t="shared" si="0"/>
        <v>264</v>
      </c>
      <c r="Y13" s="119">
        <f t="shared" si="0"/>
        <v>276</v>
      </c>
      <c r="Z13" s="119">
        <f t="shared" si="0"/>
        <v>288</v>
      </c>
      <c r="AA13" s="119">
        <f t="shared" si="0"/>
        <v>300</v>
      </c>
      <c r="AB13" s="119">
        <f t="shared" si="0"/>
        <v>312</v>
      </c>
      <c r="AC13" s="119">
        <f t="shared" si="0"/>
        <v>324</v>
      </c>
      <c r="AD13" s="119">
        <f t="shared" si="0"/>
        <v>336</v>
      </c>
      <c r="AE13" s="119">
        <f t="shared" si="0"/>
        <v>348</v>
      </c>
      <c r="AF13" s="119">
        <f t="shared" si="0"/>
        <v>360</v>
      </c>
      <c r="AG13" s="119">
        <f t="shared" si="0"/>
        <v>372</v>
      </c>
      <c r="AH13" s="119">
        <f t="shared" si="0"/>
        <v>384</v>
      </c>
      <c r="AI13" s="119">
        <f t="shared" si="0"/>
        <v>396</v>
      </c>
      <c r="AJ13" s="119">
        <f t="shared" si="0"/>
        <v>408</v>
      </c>
      <c r="AK13" s="119">
        <f t="shared" si="0"/>
        <v>420</v>
      </c>
      <c r="AL13" s="119">
        <f t="shared" si="0"/>
        <v>432</v>
      </c>
      <c r="AM13" s="119">
        <f t="shared" si="0"/>
        <v>444</v>
      </c>
      <c r="AN13" s="119">
        <f t="shared" si="0"/>
        <v>456</v>
      </c>
      <c r="AO13" s="119">
        <f t="shared" si="0"/>
        <v>468</v>
      </c>
      <c r="AP13" s="119">
        <f t="shared" si="0"/>
        <v>480</v>
      </c>
    </row>
    <row r="14" spans="1:45">
      <c r="A14" s="116" t="s">
        <v>162</v>
      </c>
      <c r="B14" s="119" t="s">
        <v>163</v>
      </c>
      <c r="C14" s="120">
        <f>C15/D15</f>
        <v>3.5138447048974482</v>
      </c>
      <c r="D14" s="120">
        <f t="shared" ref="D14:AO14" si="1">D15/E15</f>
        <v>1.9093191217482153</v>
      </c>
      <c r="E14" s="120">
        <f t="shared" si="1"/>
        <v>1.3908665900728545</v>
      </c>
      <c r="F14" s="120">
        <f t="shared" si="1"/>
        <v>1.2223319499906513</v>
      </c>
      <c r="G14" s="120">
        <f t="shared" si="1"/>
        <v>1.1251627810339839</v>
      </c>
      <c r="H14" s="120">
        <f t="shared" si="1"/>
        <v>1.0710418744003105</v>
      </c>
      <c r="I14" s="120">
        <f t="shared" si="1"/>
        <v>1.0404300640945332</v>
      </c>
      <c r="J14" s="120">
        <f t="shared" si="1"/>
        <v>1.0267317420102942</v>
      </c>
      <c r="K14" s="120">
        <f t="shared" si="1"/>
        <v>1.0130103293286545</v>
      </c>
      <c r="L14" s="120">
        <f t="shared" si="1"/>
        <v>1.0121221416663702</v>
      </c>
      <c r="M14" s="120">
        <f t="shared" si="1"/>
        <v>1.0068617965346081</v>
      </c>
      <c r="N14" s="120">
        <f t="shared" si="1"/>
        <v>1.008302180726552</v>
      </c>
      <c r="O14" s="120">
        <f t="shared" si="1"/>
        <v>1.0072436442354418</v>
      </c>
      <c r="P14" s="120">
        <f t="shared" si="1"/>
        <v>1.0030684055791115</v>
      </c>
      <c r="Q14" s="120">
        <f t="shared" si="1"/>
        <v>1.0017053205415647</v>
      </c>
      <c r="R14" s="120">
        <f t="shared" si="1"/>
        <v>1.0021906360123831</v>
      </c>
      <c r="S14" s="120">
        <f t="shared" si="1"/>
        <v>1.0027768643867487</v>
      </c>
      <c r="T14" s="120">
        <f t="shared" si="1"/>
        <v>1.0013401924549663</v>
      </c>
      <c r="U14" s="120">
        <f t="shared" si="1"/>
        <v>1.000636661481612</v>
      </c>
      <c r="V14" s="120">
        <f t="shared" si="1"/>
        <v>1.0028203830845952</v>
      </c>
      <c r="W14" s="120">
        <f t="shared" si="1"/>
        <v>1.0041753899184029</v>
      </c>
      <c r="X14" s="120">
        <f t="shared" si="1"/>
        <v>1.0047970529045591</v>
      </c>
      <c r="Y14" s="120">
        <f t="shared" si="1"/>
        <v>1.004325493299518</v>
      </c>
      <c r="Z14" s="120">
        <f t="shared" si="1"/>
        <v>1.0035096989815506</v>
      </c>
      <c r="AA14" s="120">
        <f t="shared" si="1"/>
        <v>0.99916306989277892</v>
      </c>
      <c r="AB14" s="120">
        <f t="shared" si="1"/>
        <v>1.0041917060302645</v>
      </c>
      <c r="AC14" s="120">
        <f t="shared" si="1"/>
        <v>1.004131197289341</v>
      </c>
      <c r="AD14" s="120">
        <f t="shared" si="1"/>
        <v>1.0049216317433289</v>
      </c>
      <c r="AE14" s="120">
        <f t="shared" si="1"/>
        <v>1.0058169114991875</v>
      </c>
      <c r="AF14" s="120">
        <f t="shared" si="1"/>
        <v>1.0034018971739602</v>
      </c>
      <c r="AG14" s="120">
        <f t="shared" si="1"/>
        <v>1.0022920492045935</v>
      </c>
      <c r="AH14" s="120">
        <f t="shared" si="1"/>
        <v>0.99424111714665897</v>
      </c>
      <c r="AI14" s="120">
        <f t="shared" si="1"/>
        <v>0.99965870165113468</v>
      </c>
      <c r="AJ14" s="120">
        <f t="shared" si="1"/>
        <v>1.030430343303818</v>
      </c>
      <c r="AK14" s="120">
        <f t="shared" si="1"/>
        <v>1.0016422370407163</v>
      </c>
      <c r="AL14" s="120">
        <f t="shared" si="1"/>
        <v>1.0015589113144363</v>
      </c>
      <c r="AM14" s="120">
        <f t="shared" si="1"/>
        <v>1.001481955747799</v>
      </c>
      <c r="AN14" s="120">
        <f t="shared" si="1"/>
        <v>1.0014107282270321</v>
      </c>
      <c r="AO14" s="120">
        <f t="shared" si="1"/>
        <v>1.0013446661951311</v>
      </c>
      <c r="AP14" s="120" t="e">
        <f>AP15/AQ15</f>
        <v>#DIV/0!</v>
      </c>
    </row>
    <row r="15" spans="1:45">
      <c r="B15" s="121" t="s">
        <v>164</v>
      </c>
      <c r="C15" s="122">
        <v>16.9178553896813</v>
      </c>
      <c r="D15" s="122">
        <v>4.8146280813440354</v>
      </c>
      <c r="E15" s="122">
        <v>2.5216466050660271</v>
      </c>
      <c r="F15" s="122">
        <v>1.8130039380225111</v>
      </c>
      <c r="G15" s="122">
        <v>1.4832336977172016</v>
      </c>
      <c r="H15" s="122">
        <v>1.3182392118891131</v>
      </c>
      <c r="I15" s="122">
        <v>1.2308008149795371</v>
      </c>
      <c r="J15" s="122">
        <v>1.1829731352973543</v>
      </c>
      <c r="K15" s="122">
        <v>1.1521735297490137</v>
      </c>
      <c r="L15" s="122">
        <v>1.1373758947873571</v>
      </c>
      <c r="M15" s="122">
        <v>1.1237535945165351</v>
      </c>
      <c r="N15" s="122">
        <v>1.1160951765021201</v>
      </c>
      <c r="O15" s="122">
        <v>1.1069054474303484</v>
      </c>
      <c r="P15" s="122">
        <v>1.0989450802348382</v>
      </c>
      <c r="Q15" s="122">
        <v>1.0955833860606679</v>
      </c>
      <c r="R15" s="122">
        <v>1.0937182458693029</v>
      </c>
      <c r="S15" s="122">
        <v>1.0913275444491271</v>
      </c>
      <c r="T15" s="122">
        <v>1.0883054677538175</v>
      </c>
      <c r="U15" s="122">
        <v>1.0868488810837005</v>
      </c>
      <c r="V15" s="122">
        <v>1.0861573665254645</v>
      </c>
      <c r="W15" s="122">
        <v>1.0831026022671491</v>
      </c>
      <c r="X15" s="122">
        <v>1.0785990307481639</v>
      </c>
      <c r="Y15" s="122">
        <v>1.0734496360536347</v>
      </c>
      <c r="Z15" s="122">
        <v>1.0688264344729741</v>
      </c>
      <c r="AA15" s="122">
        <v>1.0650882951681608</v>
      </c>
      <c r="AB15" s="122">
        <v>1.0659804462973761</v>
      </c>
      <c r="AC15" s="122">
        <v>1.0615308211530372</v>
      </c>
      <c r="AD15" s="122">
        <v>1.0571634702901842</v>
      </c>
      <c r="AE15" s="122">
        <v>1.0519859826842681</v>
      </c>
      <c r="AF15" s="122">
        <v>1.0459020629472862</v>
      </c>
      <c r="AG15" s="122">
        <v>1.042356074762292</v>
      </c>
      <c r="AH15" s="122">
        <v>1.0399724068344081</v>
      </c>
      <c r="AI15" s="122">
        <v>1.0459961762786394</v>
      </c>
      <c r="AJ15" s="122">
        <v>1.046353294930529</v>
      </c>
      <c r="AK15" s="122">
        <v>1.0154527200505936</v>
      </c>
      <c r="AL15" s="122">
        <v>1.0137878401081402</v>
      </c>
      <c r="AM15" s="122">
        <v>1.0122098946507847</v>
      </c>
      <c r="AN15" s="122">
        <v>1.0107120640980249</v>
      </c>
      <c r="AO15" s="122">
        <v>1.0092882326989452</v>
      </c>
      <c r="AP15" s="122">
        <v>1.0079328994021586</v>
      </c>
      <c r="AQ15" s="120"/>
      <c r="AR15" s="120"/>
      <c r="AS15" s="120"/>
    </row>
    <row r="16" spans="1:45">
      <c r="B16" s="121" t="s">
        <v>165</v>
      </c>
      <c r="C16" s="120">
        <f>1/C15</f>
        <v>5.9109146931822669E-2</v>
      </c>
      <c r="D16" s="120">
        <f t="shared" ref="D16:AC16" si="2">1/D15</f>
        <v>0.20770036295739033</v>
      </c>
      <c r="E16" s="120">
        <f t="shared" si="2"/>
        <v>0.39656627458859006</v>
      </c>
      <c r="F16" s="120">
        <f t="shared" si="2"/>
        <v>0.5515707820749276</v>
      </c>
      <c r="G16" s="120">
        <f t="shared" si="2"/>
        <v>0.6742025896115148</v>
      </c>
      <c r="H16" s="120">
        <f t="shared" si="2"/>
        <v>0.75858766070760564</v>
      </c>
      <c r="I16" s="120">
        <f t="shared" si="2"/>
        <v>0.81247915002122073</v>
      </c>
      <c r="J16" s="120">
        <f t="shared" si="2"/>
        <v>0.84532773413205042</v>
      </c>
      <c r="K16" s="120">
        <f t="shared" si="2"/>
        <v>0.86792481703501489</v>
      </c>
      <c r="L16" s="120">
        <f t="shared" si="2"/>
        <v>0.87921680473715258</v>
      </c>
      <c r="M16" s="120">
        <f t="shared" si="2"/>
        <v>0.88987479539962955</v>
      </c>
      <c r="N16" s="120">
        <f t="shared" si="2"/>
        <v>0.89598093518693778</v>
      </c>
      <c r="O16" s="120">
        <f t="shared" si="2"/>
        <v>0.90341953083840498</v>
      </c>
      <c r="P16" s="120">
        <f t="shared" si="2"/>
        <v>0.90996358051514803</v>
      </c>
      <c r="Q16" s="120">
        <f t="shared" si="2"/>
        <v>0.91275571784238896</v>
      </c>
      <c r="R16" s="120">
        <f t="shared" si="2"/>
        <v>0.91431225891745616</v>
      </c>
      <c r="S16" s="120">
        <f t="shared" si="2"/>
        <v>0.91631518427840397</v>
      </c>
      <c r="T16" s="120">
        <f t="shared" si="2"/>
        <v>0.91885966728066382</v>
      </c>
      <c r="U16" s="120">
        <f t="shared" si="2"/>
        <v>0.92009111607392635</v>
      </c>
      <c r="V16" s="120">
        <f t="shared" si="2"/>
        <v>0.92067690264710411</v>
      </c>
      <c r="W16" s="120">
        <f t="shared" si="2"/>
        <v>0.92327356420970752</v>
      </c>
      <c r="X16" s="120">
        <f t="shared" si="2"/>
        <v>0.92712859134163683</v>
      </c>
      <c r="Y16" s="120">
        <f t="shared" si="2"/>
        <v>0.93157607624363215</v>
      </c>
      <c r="Z16" s="120">
        <f>1/Z15</f>
        <v>0.93560560231941525</v>
      </c>
      <c r="AA16" s="120">
        <f>1/AA15</f>
        <v>0.93888929634900886</v>
      </c>
      <c r="AB16" s="120">
        <f>1/AB15</f>
        <v>0.93810351162954675</v>
      </c>
      <c r="AC16" s="120">
        <f t="shared" si="2"/>
        <v>0.94203576577625669</v>
      </c>
      <c r="AD16" s="120">
        <f>1/AD15</f>
        <v>0.94592750137829373</v>
      </c>
      <c r="AE16" s="120">
        <f>1/AE15</f>
        <v>0.95058300819596508</v>
      </c>
      <c r="AF16" s="120">
        <f>1/AF15</f>
        <v>0.95611246542727235</v>
      </c>
      <c r="AG16" s="120">
        <f t="shared" ref="AG16:AP16" si="3">1/AG15</f>
        <v>0.95936506172139768</v>
      </c>
      <c r="AH16" s="120">
        <f t="shared" si="3"/>
        <v>0.96156397364803092</v>
      </c>
      <c r="AI16" s="120">
        <f t="shared" si="3"/>
        <v>0.95602643936779874</v>
      </c>
      <c r="AJ16" s="120">
        <f t="shared" si="3"/>
        <v>0.95570014912257095</v>
      </c>
      <c r="AK16" s="120">
        <f t="shared" si="3"/>
        <v>0.98478243275588084</v>
      </c>
      <c r="AL16" s="120">
        <f t="shared" si="3"/>
        <v>0.98639967894399938</v>
      </c>
      <c r="AM16" s="120">
        <f t="shared" si="3"/>
        <v>0.98793738856406144</v>
      </c>
      <c r="AN16" s="120">
        <f t="shared" si="3"/>
        <v>0.98940146805550944</v>
      </c>
      <c r="AO16" s="120">
        <f t="shared" si="3"/>
        <v>0.99079724463436236</v>
      </c>
      <c r="AP16" s="120">
        <f t="shared" si="3"/>
        <v>0.99212953619545119</v>
      </c>
      <c r="AQ16" s="120"/>
      <c r="AR16" s="120"/>
      <c r="AS16" s="120"/>
    </row>
    <row r="17" spans="1:45">
      <c r="AE17" s="117"/>
      <c r="AH17" s="117" t="s">
        <v>166</v>
      </c>
      <c r="AS17" s="117"/>
    </row>
    <row r="18" spans="1:45">
      <c r="AE18" s="123"/>
      <c r="AH18" s="123">
        <f>AH15</f>
        <v>1.0399724068344081</v>
      </c>
      <c r="AS18" s="123"/>
    </row>
    <row r="20" spans="1:4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124"/>
      <c r="P20" s="124"/>
      <c r="Q20" s="125"/>
    </row>
    <row r="21" spans="1:45">
      <c r="A21" s="210" t="s">
        <v>167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125"/>
      <c r="AA21" s="126"/>
    </row>
    <row r="22" spans="1:45">
      <c r="A22" s="210" t="s">
        <v>217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125"/>
    </row>
    <row r="24" spans="1:4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127"/>
    </row>
    <row r="25" spans="1:45">
      <c r="N25" s="117" t="s">
        <v>168</v>
      </c>
    </row>
    <row r="26" spans="1:45">
      <c r="C26" s="117" t="s">
        <v>172</v>
      </c>
      <c r="E26" s="116" t="s">
        <v>173</v>
      </c>
      <c r="N26" s="117">
        <v>6.1</v>
      </c>
    </row>
    <row r="27" spans="1:45" ht="14.25" customHeight="1">
      <c r="A27" s="117"/>
      <c r="B27" s="117" t="s">
        <v>162</v>
      </c>
      <c r="C27" s="117" t="s">
        <v>162</v>
      </c>
      <c r="E27" s="117" t="s">
        <v>174</v>
      </c>
      <c r="G27" s="128" t="s">
        <v>175</v>
      </c>
      <c r="J27" s="116" t="s">
        <v>176</v>
      </c>
      <c r="P27" s="129"/>
    </row>
    <row r="28" spans="1:45">
      <c r="A28" s="130" t="s">
        <v>177</v>
      </c>
      <c r="B28" s="130" t="s">
        <v>165</v>
      </c>
      <c r="C28" s="130" t="s">
        <v>165</v>
      </c>
      <c r="D28" s="116" t="s">
        <v>178</v>
      </c>
      <c r="E28" s="130" t="s">
        <v>165</v>
      </c>
      <c r="F28" s="131" t="s">
        <v>179</v>
      </c>
      <c r="G28" s="132" t="s">
        <v>180</v>
      </c>
      <c r="H28" s="133" t="s">
        <v>181</v>
      </c>
      <c r="I28" s="134" t="s">
        <v>178</v>
      </c>
      <c r="J28" s="132" t="s">
        <v>182</v>
      </c>
      <c r="K28" s="132" t="s">
        <v>180</v>
      </c>
      <c r="L28" s="133" t="s">
        <v>182</v>
      </c>
      <c r="M28" s="135" t="s">
        <v>183</v>
      </c>
    </row>
    <row r="29" spans="1:45">
      <c r="A29" s="117">
        <f>12</f>
        <v>12</v>
      </c>
      <c r="B29" s="120">
        <f t="shared" ref="B29:B53" si="4">HLOOKUP(A29,$C$13:$AS$16,4,FALSE)*$AH$18</f>
        <v>6.1471881800616288E-2</v>
      </c>
      <c r="C29" s="120"/>
      <c r="F29" s="136" t="s">
        <v>3</v>
      </c>
      <c r="G29" s="137" t="str">
        <f>"Sept "&amp;G26</f>
        <v xml:space="preserve">Sept </v>
      </c>
      <c r="H29" s="138" t="s">
        <v>184</v>
      </c>
      <c r="I29" s="139" t="s">
        <v>185</v>
      </c>
      <c r="J29" s="137" t="s">
        <v>165</v>
      </c>
      <c r="K29" s="140" t="s">
        <v>186</v>
      </c>
      <c r="L29" s="141" t="s">
        <v>165</v>
      </c>
      <c r="M29" s="142" t="s">
        <v>165</v>
      </c>
    </row>
    <row r="30" spans="1:45">
      <c r="A30" s="117">
        <v>24</v>
      </c>
      <c r="B30" s="120">
        <f t="shared" si="4"/>
        <v>0.21600264636517735</v>
      </c>
      <c r="C30" s="120">
        <f>B30-B29</f>
        <v>0.15453076456456105</v>
      </c>
      <c r="D30" s="116">
        <f t="shared" ref="D30:D44" si="5">D31-12</f>
        <v>30</v>
      </c>
      <c r="E30" s="120">
        <f t="shared" ref="E30:E45" si="6">AVERAGE(B30:B31)</f>
        <v>0.31421031470921407</v>
      </c>
      <c r="F30" s="143">
        <v>1979</v>
      </c>
      <c r="G30" s="144">
        <v>31.75</v>
      </c>
      <c r="H30" s="145">
        <f>G30-0.5</f>
        <v>31.25</v>
      </c>
      <c r="I30" s="135">
        <f>H30*12</f>
        <v>375</v>
      </c>
      <c r="J30" s="146">
        <f>VLOOKUP(I30,$D$30:$E$60,2,FALSE)</f>
        <v>0.99828489420343181</v>
      </c>
      <c r="K30" s="147">
        <f t="shared" ref="K30:K41" si="7">12*(1997-F30+1-0.5)</f>
        <v>222</v>
      </c>
      <c r="L30" s="148">
        <f>VLOOKUP(K30,$D$30:$E$60,2,FALSE)</f>
        <v>0.95622903610764665</v>
      </c>
      <c r="M30" s="149">
        <f t="shared" ref="M30:M41" si="8">J30-L30</f>
        <v>4.2055858095785159E-2</v>
      </c>
      <c r="O30" s="150">
        <v>0.99745722737055187</v>
      </c>
      <c r="P30" s="150">
        <v>222</v>
      </c>
      <c r="Q30" s="150">
        <v>0.95842076010926625</v>
      </c>
      <c r="R30" s="150">
        <v>3.9036467261285623E-2</v>
      </c>
    </row>
    <row r="31" spans="1:45">
      <c r="A31" s="117">
        <v>36</v>
      </c>
      <c r="B31" s="120">
        <f t="shared" si="4"/>
        <v>0.41241798305325078</v>
      </c>
      <c r="C31" s="120">
        <f>B31-B30</f>
        <v>0.19641533668807343</v>
      </c>
      <c r="D31" s="116">
        <f t="shared" si="5"/>
        <v>42</v>
      </c>
      <c r="E31" s="120">
        <f t="shared" si="6"/>
        <v>0.49301818841362499</v>
      </c>
      <c r="F31" s="143">
        <f>F30+1</f>
        <v>1980</v>
      </c>
      <c r="G31" s="151">
        <v>30.75</v>
      </c>
      <c r="H31" s="152">
        <f t="shared" ref="H31:H41" si="9">G31-0.5</f>
        <v>30.25</v>
      </c>
      <c r="I31" s="153">
        <f>H31*12</f>
        <v>363</v>
      </c>
      <c r="J31" s="154">
        <f>VLOOKUP(I31,$D$30:$E$60,2,FALSE)</f>
        <v>0.9951762344738958</v>
      </c>
      <c r="K31" s="155">
        <f t="shared" si="7"/>
        <v>210</v>
      </c>
      <c r="L31" s="156">
        <f>VLOOKUP(K31,$D$30:$E$60,2,FALSE)</f>
        <v>0.95426560366893054</v>
      </c>
      <c r="M31" s="157">
        <f t="shared" si="8"/>
        <v>4.0910630804965264E-2</v>
      </c>
      <c r="O31" s="150">
        <v>0.9922868889926757</v>
      </c>
      <c r="P31" s="150">
        <v>210</v>
      </c>
      <c r="Q31" s="150">
        <v>0.95645282738679094</v>
      </c>
      <c r="R31" s="150">
        <v>3.5834061605884759E-2</v>
      </c>
    </row>
    <row r="32" spans="1:45">
      <c r="A32" s="117">
        <v>48</v>
      </c>
      <c r="B32" s="120">
        <f t="shared" si="4"/>
        <v>0.57361839377399926</v>
      </c>
      <c r="C32" s="120">
        <f>B32-B31</f>
        <v>0.16120041072074848</v>
      </c>
      <c r="D32" s="116">
        <f t="shared" si="5"/>
        <v>54</v>
      </c>
      <c r="E32" s="120">
        <f t="shared" si="6"/>
        <v>0.63738524179313849</v>
      </c>
      <c r="F32" s="143">
        <f t="shared" ref="F32:F41" si="10">F31+1</f>
        <v>1981</v>
      </c>
      <c r="G32" s="151">
        <v>29.75</v>
      </c>
      <c r="H32" s="152">
        <f t="shared" si="9"/>
        <v>29.25</v>
      </c>
      <c r="I32" s="153">
        <f t="shared" ref="I32:I40" si="11">H32*12</f>
        <v>351</v>
      </c>
      <c r="J32" s="154">
        <f t="shared" ref="J32:J40" si="12">VLOOKUP(I32,$D$30:$E$60,2,FALSE)</f>
        <v>0.99001771966578223</v>
      </c>
      <c r="K32" s="155">
        <f t="shared" si="7"/>
        <v>198</v>
      </c>
      <c r="L32" s="156">
        <f t="shared" ref="L32:L40" si="13">VLOOKUP(K32,$D$30:$E$60,2,FALSE)</f>
        <v>0.9519010140587586</v>
      </c>
      <c r="M32" s="157">
        <f t="shared" si="8"/>
        <v>3.8116705607023627E-2</v>
      </c>
      <c r="O32" s="150">
        <v>0.98720645129950502</v>
      </c>
      <c r="P32" s="150">
        <v>198</v>
      </c>
      <c r="Q32" s="150">
        <v>0.95408281802088368</v>
      </c>
      <c r="R32" s="150">
        <v>3.3123633278621334E-2</v>
      </c>
    </row>
    <row r="33" spans="1:18">
      <c r="A33" s="117">
        <v>60</v>
      </c>
      <c r="B33" s="120">
        <f t="shared" si="4"/>
        <v>0.70115208981227772</v>
      </c>
      <c r="C33" s="120">
        <f>B33-B32</f>
        <v>0.12753369603827847</v>
      </c>
      <c r="D33" s="116">
        <f t="shared" si="5"/>
        <v>66</v>
      </c>
      <c r="E33" s="120">
        <f t="shared" si="6"/>
        <v>0.74503116255662483</v>
      </c>
      <c r="F33" s="143">
        <f t="shared" si="10"/>
        <v>1982</v>
      </c>
      <c r="G33" s="151">
        <v>28.75</v>
      </c>
      <c r="H33" s="152">
        <f t="shared" si="9"/>
        <v>28.25</v>
      </c>
      <c r="I33" s="153">
        <f t="shared" si="11"/>
        <v>339</v>
      </c>
      <c r="J33" s="154">
        <f t="shared" si="12"/>
        <v>0.98494889995679402</v>
      </c>
      <c r="K33" s="155">
        <f t="shared" si="7"/>
        <v>186</v>
      </c>
      <c r="L33" s="156">
        <f t="shared" si="13"/>
        <v>0.95005014062050419</v>
      </c>
      <c r="M33" s="157">
        <f t="shared" si="8"/>
        <v>3.4898759336289831E-2</v>
      </c>
      <c r="O33" s="150">
        <v>0.9829508466617668</v>
      </c>
      <c r="P33" s="150">
        <v>186</v>
      </c>
      <c r="Q33" s="150">
        <v>0.95222770228963727</v>
      </c>
      <c r="R33" s="150">
        <v>3.0723144372129529E-2</v>
      </c>
    </row>
    <row r="34" spans="1:18">
      <c r="A34" s="117">
        <v>72</v>
      </c>
      <c r="B34" s="120">
        <f t="shared" si="4"/>
        <v>0.78891023530097193</v>
      </c>
      <c r="C34" s="120">
        <f>B34-B33</f>
        <v>8.7758145488694206E-2</v>
      </c>
      <c r="D34" s="116">
        <f t="shared" si="5"/>
        <v>78</v>
      </c>
      <c r="E34" s="120">
        <f t="shared" si="6"/>
        <v>0.81693306622565753</v>
      </c>
      <c r="F34" s="143">
        <f t="shared" si="10"/>
        <v>1983</v>
      </c>
      <c r="G34" s="151">
        <v>27.75</v>
      </c>
      <c r="H34" s="152">
        <f t="shared" si="9"/>
        <v>27.25</v>
      </c>
      <c r="I34" s="153">
        <f t="shared" si="11"/>
        <v>327</v>
      </c>
      <c r="J34" s="154">
        <f t="shared" si="12"/>
        <v>0.98070302706863166</v>
      </c>
      <c r="K34" s="155">
        <f t="shared" si="7"/>
        <v>174</v>
      </c>
      <c r="L34" s="156">
        <f t="shared" si="13"/>
        <v>0.94778888784820559</v>
      </c>
      <c r="M34" s="157">
        <f t="shared" si="8"/>
        <v>3.2914139220426075E-2</v>
      </c>
      <c r="O34" s="150">
        <v>0.97947689695906959</v>
      </c>
      <c r="P34" s="150">
        <v>174</v>
      </c>
      <c r="Q34" s="150">
        <v>0.94996126661472058</v>
      </c>
      <c r="R34" s="150">
        <v>2.9515630344349009E-2</v>
      </c>
    </row>
    <row r="35" spans="1:18">
      <c r="A35" s="117">
        <v>84</v>
      </c>
      <c r="B35" s="120">
        <f t="shared" si="4"/>
        <v>0.84495589715034303</v>
      </c>
      <c r="C35" s="120">
        <f t="shared" ref="C35:C60" si="14">B35-B34</f>
        <v>5.6045661849371098E-2</v>
      </c>
      <c r="D35" s="116">
        <f t="shared" si="5"/>
        <v>90</v>
      </c>
      <c r="E35" s="120">
        <f t="shared" si="6"/>
        <v>0.86203670768976404</v>
      </c>
      <c r="F35" s="143">
        <f t="shared" si="10"/>
        <v>1984</v>
      </c>
      <c r="G35" s="151">
        <v>26.75</v>
      </c>
      <c r="H35" s="152">
        <f>G35-0.5</f>
        <v>26.25</v>
      </c>
      <c r="I35" s="153">
        <f t="shared" si="11"/>
        <v>315</v>
      </c>
      <c r="J35" s="154">
        <f t="shared" si="12"/>
        <v>0.9766241258014996</v>
      </c>
      <c r="K35" s="155">
        <f t="shared" si="7"/>
        <v>162</v>
      </c>
      <c r="L35" s="156">
        <f t="shared" si="13"/>
        <v>0.9429341994136109</v>
      </c>
      <c r="M35" s="157">
        <f t="shared" si="8"/>
        <v>3.3689926387888702E-2</v>
      </c>
      <c r="O35" s="150">
        <v>0.97804266097184311</v>
      </c>
      <c r="P35" s="150">
        <v>162</v>
      </c>
      <c r="Q35" s="150">
        <v>0.94509545099536085</v>
      </c>
      <c r="R35" s="150">
        <v>3.2947209976482261E-2</v>
      </c>
    </row>
    <row r="36" spans="1:18">
      <c r="A36" s="117">
        <v>96</v>
      </c>
      <c r="B36" s="120">
        <f t="shared" si="4"/>
        <v>0.87911751822918505</v>
      </c>
      <c r="C36" s="120">
        <f t="shared" si="14"/>
        <v>3.4161621078842019E-2</v>
      </c>
      <c r="D36" s="116">
        <f t="shared" si="5"/>
        <v>102</v>
      </c>
      <c r="E36" s="120">
        <f t="shared" si="6"/>
        <v>0.89086768957620133</v>
      </c>
      <c r="F36" s="143">
        <f t="shared" si="10"/>
        <v>1985</v>
      </c>
      <c r="G36" s="151">
        <v>25.75</v>
      </c>
      <c r="H36" s="152">
        <f t="shared" si="9"/>
        <v>25.25</v>
      </c>
      <c r="I36" s="153">
        <f>H36*12</f>
        <v>303</v>
      </c>
      <c r="J36" s="154">
        <f t="shared" si="12"/>
        <v>0.97621466266865431</v>
      </c>
      <c r="K36" s="155">
        <f t="shared" si="7"/>
        <v>150</v>
      </c>
      <c r="L36" s="156">
        <f t="shared" si="13"/>
        <v>0.93566341675566567</v>
      </c>
      <c r="M36" s="157">
        <f t="shared" si="8"/>
        <v>4.0551245912988643E-2</v>
      </c>
      <c r="O36" s="150">
        <v>0.97588511089518071</v>
      </c>
      <c r="P36" s="150">
        <v>150</v>
      </c>
      <c r="Q36" s="150">
        <v>0.93780800334580761</v>
      </c>
      <c r="R36" s="150">
        <v>3.8077107549373101E-2</v>
      </c>
    </row>
    <row r="37" spans="1:18">
      <c r="A37" s="117">
        <v>108</v>
      </c>
      <c r="B37" s="120">
        <f t="shared" si="4"/>
        <v>0.90261786092321772</v>
      </c>
      <c r="C37" s="120">
        <f t="shared" si="14"/>
        <v>2.3500342694032672E-2</v>
      </c>
      <c r="D37" s="116">
        <f t="shared" si="5"/>
        <v>114</v>
      </c>
      <c r="E37" s="120">
        <f t="shared" si="6"/>
        <v>0.90848953873748606</v>
      </c>
      <c r="F37" s="143">
        <f t="shared" si="10"/>
        <v>1986</v>
      </c>
      <c r="G37" s="151">
        <v>24.75</v>
      </c>
      <c r="H37" s="152">
        <f t="shared" si="9"/>
        <v>24.25</v>
      </c>
      <c r="I37" s="153">
        <f t="shared" si="11"/>
        <v>291</v>
      </c>
      <c r="J37" s="154">
        <f t="shared" si="12"/>
        <v>0.97385774788769441</v>
      </c>
      <c r="K37" s="155">
        <f t="shared" si="7"/>
        <v>138</v>
      </c>
      <c r="L37" s="156">
        <f t="shared" si="13"/>
        <v>0.92862034119856629</v>
      </c>
      <c r="M37" s="157">
        <f t="shared" si="8"/>
        <v>4.5237406689128123E-2</v>
      </c>
      <c r="O37" s="150">
        <v>0.97208403242164643</v>
      </c>
      <c r="P37" s="150">
        <v>138</v>
      </c>
      <c r="Q37" s="150">
        <v>0.93074878471297984</v>
      </c>
      <c r="R37" s="150">
        <v>4.1335247708666589E-2</v>
      </c>
    </row>
    <row r="38" spans="1:18">
      <c r="A38" s="117">
        <v>120</v>
      </c>
      <c r="B38" s="120">
        <f t="shared" si="4"/>
        <v>0.9143612165517544</v>
      </c>
      <c r="C38" s="120">
        <f t="shared" si="14"/>
        <v>1.1743355628536678E-2</v>
      </c>
      <c r="D38" s="116">
        <f t="shared" si="5"/>
        <v>126</v>
      </c>
      <c r="E38" s="120">
        <f t="shared" si="6"/>
        <v>0.91990322465239172</v>
      </c>
      <c r="F38" s="143">
        <f t="shared" si="10"/>
        <v>1987</v>
      </c>
      <c r="G38" s="151">
        <v>23.75</v>
      </c>
      <c r="H38" s="152">
        <f t="shared" si="9"/>
        <v>23.25</v>
      </c>
      <c r="I38" s="153">
        <f t="shared" si="11"/>
        <v>279</v>
      </c>
      <c r="J38" s="154">
        <f t="shared" si="12"/>
        <v>0.96986106314330278</v>
      </c>
      <c r="K38" s="155">
        <f t="shared" si="7"/>
        <v>126</v>
      </c>
      <c r="L38" s="156">
        <f t="shared" si="13"/>
        <v>0.91990322465239172</v>
      </c>
      <c r="M38" s="157">
        <f t="shared" si="8"/>
        <v>4.9957838490911066E-2</v>
      </c>
      <c r="O38" s="150">
        <v>0.96755708499701387</v>
      </c>
      <c r="P38" s="150">
        <v>126</v>
      </c>
      <c r="Q38" s="150">
        <v>0.92201168810675926</v>
      </c>
      <c r="R38" s="150">
        <v>4.5545396890254608E-2</v>
      </c>
    </row>
    <row r="39" spans="1:18">
      <c r="A39" s="117">
        <v>132</v>
      </c>
      <c r="B39" s="120">
        <f t="shared" si="4"/>
        <v>0.92544523275302915</v>
      </c>
      <c r="C39" s="120">
        <f t="shared" si="14"/>
        <v>1.1084016201274749E-2</v>
      </c>
      <c r="D39" s="116">
        <f t="shared" si="5"/>
        <v>138</v>
      </c>
      <c r="E39" s="120">
        <f t="shared" si="6"/>
        <v>0.92862034119856629</v>
      </c>
      <c r="F39" s="143">
        <f t="shared" si="10"/>
        <v>1988</v>
      </c>
      <c r="G39" s="151">
        <v>22.75</v>
      </c>
      <c r="H39" s="152">
        <f t="shared" si="9"/>
        <v>22.25</v>
      </c>
      <c r="I39" s="153">
        <f t="shared" si="11"/>
        <v>267</v>
      </c>
      <c r="J39" s="154">
        <f t="shared" si="12"/>
        <v>0.96534446797702833</v>
      </c>
      <c r="K39" s="155">
        <f t="shared" si="7"/>
        <v>114</v>
      </c>
      <c r="L39" s="156">
        <f t="shared" si="13"/>
        <v>0.90848953873748606</v>
      </c>
      <c r="M39" s="157">
        <f t="shared" si="8"/>
        <v>5.6854929239542273E-2</v>
      </c>
      <c r="O39" s="150">
        <v>0.96338438605875665</v>
      </c>
      <c r="P39" s="150">
        <v>114</v>
      </c>
      <c r="Q39" s="150">
        <v>0.91057184146213066</v>
      </c>
      <c r="R39" s="150">
        <v>5.2812544596625988E-2</v>
      </c>
    </row>
    <row r="40" spans="1:18">
      <c r="A40" s="117">
        <v>144</v>
      </c>
      <c r="B40" s="120">
        <f t="shared" si="4"/>
        <v>0.93179544964410344</v>
      </c>
      <c r="C40" s="120">
        <f t="shared" si="14"/>
        <v>6.3502168910742895E-3</v>
      </c>
      <c r="D40" s="116">
        <f t="shared" si="5"/>
        <v>150</v>
      </c>
      <c r="E40" s="120">
        <f t="shared" si="6"/>
        <v>0.93566341675566567</v>
      </c>
      <c r="F40" s="143">
        <f t="shared" si="10"/>
        <v>1989</v>
      </c>
      <c r="G40" s="151">
        <v>21.75</v>
      </c>
      <c r="H40" s="152">
        <f t="shared" si="9"/>
        <v>21.25</v>
      </c>
      <c r="I40" s="153">
        <f t="shared" si="11"/>
        <v>255</v>
      </c>
      <c r="J40" s="154">
        <f t="shared" si="12"/>
        <v>0.961181311198953</v>
      </c>
      <c r="K40" s="155">
        <f t="shared" si="7"/>
        <v>102</v>
      </c>
      <c r="L40" s="156">
        <f t="shared" si="13"/>
        <v>0.89086768957620133</v>
      </c>
      <c r="M40" s="157">
        <f t="shared" si="8"/>
        <v>7.0313621622751676E-2</v>
      </c>
      <c r="O40" s="150">
        <v>0.96034982385601064</v>
      </c>
      <c r="P40" s="150">
        <v>102</v>
      </c>
      <c r="Q40" s="150">
        <v>0.89290960215549253</v>
      </c>
      <c r="R40" s="150">
        <v>6.744022170051811E-2</v>
      </c>
    </row>
    <row r="41" spans="1:18">
      <c r="A41" s="117">
        <v>156</v>
      </c>
      <c r="B41" s="120">
        <f t="shared" si="4"/>
        <v>0.93953138386722779</v>
      </c>
      <c r="C41" s="120">
        <f t="shared" si="14"/>
        <v>7.7359342231243522E-3</v>
      </c>
      <c r="D41" s="116">
        <f t="shared" si="5"/>
        <v>162</v>
      </c>
      <c r="E41" s="120">
        <f t="shared" si="6"/>
        <v>0.9429341994136109</v>
      </c>
      <c r="F41" s="158">
        <f t="shared" si="10"/>
        <v>1990</v>
      </c>
      <c r="G41" s="159">
        <v>20.75</v>
      </c>
      <c r="H41" s="159">
        <f t="shared" si="9"/>
        <v>20.25</v>
      </c>
      <c r="I41" s="142">
        <f>H41*12</f>
        <v>243</v>
      </c>
      <c r="J41" s="160">
        <f>VLOOKUP(I41,$D$30:$E$60,2,FALSE)</f>
        <v>0.95815368845650561</v>
      </c>
      <c r="K41" s="161">
        <f t="shared" si="7"/>
        <v>90</v>
      </c>
      <c r="L41" s="162">
        <f>VLOOKUP(K41,$D$30:$E$60,2,FALSE)</f>
        <v>0.86203670768976404</v>
      </c>
      <c r="M41" s="163">
        <f t="shared" si="8"/>
        <v>9.6116980766741578E-2</v>
      </c>
      <c r="O41" s="150">
        <v>0.95921521372274077</v>
      </c>
      <c r="P41" s="150">
        <v>90</v>
      </c>
      <c r="Q41" s="150">
        <v>0.86401253823995461</v>
      </c>
      <c r="R41" s="150">
        <v>9.5202675482786159E-2</v>
      </c>
    </row>
    <row r="42" spans="1:18">
      <c r="A42" s="117">
        <v>168</v>
      </c>
      <c r="B42" s="120">
        <f t="shared" si="4"/>
        <v>0.94633701495999412</v>
      </c>
      <c r="C42" s="120">
        <f>B42-B41</f>
        <v>6.8056310927663288E-3</v>
      </c>
      <c r="D42" s="116">
        <f t="shared" si="5"/>
        <v>174</v>
      </c>
      <c r="E42" s="120">
        <f t="shared" si="6"/>
        <v>0.94778888784820559</v>
      </c>
    </row>
    <row r="43" spans="1:18">
      <c r="A43" s="117">
        <v>180</v>
      </c>
      <c r="B43" s="120">
        <f t="shared" si="4"/>
        <v>0.94924076073641706</v>
      </c>
      <c r="C43" s="120">
        <f t="shared" si="14"/>
        <v>2.9037457764229391E-3</v>
      </c>
      <c r="D43" s="116">
        <f t="shared" si="5"/>
        <v>186</v>
      </c>
      <c r="E43" s="120">
        <f t="shared" si="6"/>
        <v>0.95005014062050419</v>
      </c>
      <c r="H43" s="164" t="s">
        <v>187</v>
      </c>
      <c r="I43" s="165"/>
      <c r="J43" s="165"/>
      <c r="K43" s="165"/>
      <c r="L43" s="165"/>
    </row>
    <row r="44" spans="1:18">
      <c r="A44" s="117">
        <v>192</v>
      </c>
      <c r="B44" s="120">
        <f t="shared" si="4"/>
        <v>0.95085952050459133</v>
      </c>
      <c r="C44" s="120">
        <f t="shared" si="14"/>
        <v>1.6187597681742716E-3</v>
      </c>
      <c r="D44" s="116">
        <f t="shared" si="5"/>
        <v>198</v>
      </c>
      <c r="E44" s="120">
        <f t="shared" si="6"/>
        <v>0.9519010140587586</v>
      </c>
      <c r="I44" s="117" t="s">
        <v>160</v>
      </c>
      <c r="J44" s="117" t="s">
        <v>188</v>
      </c>
      <c r="K44" s="117" t="s">
        <v>189</v>
      </c>
      <c r="L44" s="117" t="s">
        <v>190</v>
      </c>
    </row>
    <row r="45" spans="1:18">
      <c r="A45" s="117">
        <v>204</v>
      </c>
      <c r="B45" s="120">
        <f t="shared" si="4"/>
        <v>0.95294250761292587</v>
      </c>
      <c r="C45" s="120">
        <f t="shared" si="14"/>
        <v>2.0829871083345441E-3</v>
      </c>
      <c r="D45" s="116">
        <f>D46-12</f>
        <v>210</v>
      </c>
      <c r="E45" s="120">
        <f t="shared" si="6"/>
        <v>0.95426560366893054</v>
      </c>
      <c r="I45" s="130" t="s">
        <v>191</v>
      </c>
      <c r="J45" s="130" t="s">
        <v>192</v>
      </c>
      <c r="K45" s="130" t="s">
        <v>193</v>
      </c>
      <c r="L45" s="130" t="s">
        <v>194</v>
      </c>
    </row>
    <row r="46" spans="1:18">
      <c r="A46" s="117">
        <v>216</v>
      </c>
      <c r="B46" s="120">
        <f t="shared" si="4"/>
        <v>0.95558869972493532</v>
      </c>
      <c r="C46" s="120">
        <f t="shared" si="14"/>
        <v>2.6461921120094489E-3</v>
      </c>
      <c r="D46" s="116">
        <v>222</v>
      </c>
      <c r="E46" s="120">
        <f>AVERAGE(B46:B47)</f>
        <v>0.95622903610764665</v>
      </c>
      <c r="H46" s="116">
        <v>1</v>
      </c>
      <c r="I46" s="120">
        <v>1.4124577071427929E-2</v>
      </c>
      <c r="J46" s="120">
        <v>1.4124577071427929E-2</v>
      </c>
      <c r="K46" s="116">
        <v>1990</v>
      </c>
      <c r="L46" s="120">
        <v>1</v>
      </c>
    </row>
    <row r="47" spans="1:18">
      <c r="A47" s="117">
        <v>228</v>
      </c>
      <c r="B47" s="120">
        <f t="shared" si="4"/>
        <v>0.95686937249035786</v>
      </c>
      <c r="C47" s="120">
        <f t="shared" si="14"/>
        <v>1.2806727654225414E-3</v>
      </c>
      <c r="D47" s="116">
        <v>231</v>
      </c>
      <c r="E47" s="120">
        <f>AVERAGE(B47:B48)</f>
        <v>0.95717397342655741</v>
      </c>
      <c r="H47" s="116">
        <v>2</v>
      </c>
      <c r="I47" s="120">
        <v>6.2611107950871978E-2</v>
      </c>
      <c r="J47" s="120">
        <v>6.2611107950871978E-2</v>
      </c>
      <c r="K47" s="116">
        <f>K46-1</f>
        <v>1989</v>
      </c>
      <c r="L47" s="120">
        <v>1</v>
      </c>
    </row>
    <row r="48" spans="1:18">
      <c r="A48" s="117">
        <v>240</v>
      </c>
      <c r="B48" s="120">
        <f t="shared" si="4"/>
        <v>0.95747857436275685</v>
      </c>
      <c r="C48" s="120">
        <f>B48-B47</f>
        <v>6.0920187239899004E-4</v>
      </c>
      <c r="D48" s="116">
        <f>D47+12</f>
        <v>243</v>
      </c>
      <c r="E48" s="120">
        <f t="shared" ref="E48:E57" si="15">0.75*B48+0.25*B49</f>
        <v>0.95815368845650561</v>
      </c>
      <c r="H48" s="116">
        <v>3</v>
      </c>
      <c r="I48" s="120">
        <v>9.2953014511746729E-2</v>
      </c>
      <c r="J48" s="120">
        <v>9.2953014511746729E-2</v>
      </c>
      <c r="K48" s="116">
        <f>K47-1</f>
        <v>1988</v>
      </c>
      <c r="L48" s="120">
        <v>1</v>
      </c>
    </row>
    <row r="49" spans="1:12">
      <c r="A49" s="117">
        <v>252</v>
      </c>
      <c r="B49" s="120">
        <f t="shared" si="4"/>
        <v>0.9601790307377519</v>
      </c>
      <c r="C49" s="120">
        <f>B49-B48</f>
        <v>2.7004563749950528E-3</v>
      </c>
      <c r="D49" s="116">
        <f t="shared" ref="D49:D60" si="16">D48+12</f>
        <v>255</v>
      </c>
      <c r="E49" s="120">
        <f t="shared" si="15"/>
        <v>0.961181311198953</v>
      </c>
      <c r="H49" s="116">
        <v>4</v>
      </c>
      <c r="I49" s="120">
        <v>0.10723844852138488</v>
      </c>
      <c r="J49" s="120">
        <v>0.10723844852138488</v>
      </c>
      <c r="K49" s="116">
        <f>K48-1</f>
        <v>1987</v>
      </c>
      <c r="L49" s="120">
        <v>1</v>
      </c>
    </row>
    <row r="50" spans="1:12">
      <c r="A50" s="117">
        <v>264</v>
      </c>
      <c r="B50" s="120">
        <f t="shared" si="4"/>
        <v>0.96418815258255641</v>
      </c>
      <c r="C50" s="120">
        <f>B50-B49</f>
        <v>4.0091218448045085E-3</v>
      </c>
      <c r="D50" s="116">
        <f t="shared" si="16"/>
        <v>267</v>
      </c>
      <c r="E50" s="120">
        <f t="shared" si="15"/>
        <v>0.96534446797702833</v>
      </c>
      <c r="H50" s="116">
        <v>5</v>
      </c>
      <c r="I50" s="120">
        <v>9.716056021900632E-2</v>
      </c>
      <c r="J50" s="120">
        <v>9.716056021900632E-2</v>
      </c>
      <c r="K50" s="116">
        <f t="shared" ref="K50:K56" si="17">K49-1</f>
        <v>1986</v>
      </c>
      <c r="L50" s="120">
        <v>1</v>
      </c>
    </row>
    <row r="51" spans="1:12">
      <c r="A51" s="117">
        <v>276</v>
      </c>
      <c r="B51" s="120">
        <f t="shared" si="4"/>
        <v>0.9688134141604442</v>
      </c>
      <c r="C51" s="120">
        <f t="shared" si="14"/>
        <v>4.6252615778877848E-3</v>
      </c>
      <c r="D51" s="116">
        <f t="shared" si="16"/>
        <v>279</v>
      </c>
      <c r="E51" s="120">
        <f t="shared" si="15"/>
        <v>0.96986106314330278</v>
      </c>
      <c r="H51" s="116">
        <v>6</v>
      </c>
      <c r="I51" s="120">
        <v>7.9176941779964996E-2</v>
      </c>
      <c r="J51" s="120">
        <v>7.9176941779964996E-2</v>
      </c>
      <c r="K51" s="116">
        <f t="shared" si="17"/>
        <v>1985</v>
      </c>
      <c r="L51" s="120">
        <v>1</v>
      </c>
    </row>
    <row r="52" spans="1:12">
      <c r="A52" s="117">
        <v>288</v>
      </c>
      <c r="B52" s="120">
        <f t="shared" si="4"/>
        <v>0.97300401009187831</v>
      </c>
      <c r="C52" s="120">
        <f t="shared" si="14"/>
        <v>4.1905959314341157E-3</v>
      </c>
      <c r="D52" s="116">
        <f t="shared" si="16"/>
        <v>291</v>
      </c>
      <c r="E52" s="120">
        <f t="shared" si="15"/>
        <v>0.97385774788769441</v>
      </c>
      <c r="H52" s="116">
        <v>7</v>
      </c>
      <c r="I52" s="120">
        <v>-1.8946963518442883E-2</v>
      </c>
      <c r="J52" s="120">
        <v>-1.8946963518442883E-2</v>
      </c>
      <c r="K52" s="116">
        <f t="shared" si="17"/>
        <v>1984</v>
      </c>
      <c r="L52" s="120">
        <v>1</v>
      </c>
    </row>
    <row r="53" spans="1:12">
      <c r="A53" s="117">
        <v>300</v>
      </c>
      <c r="B53" s="120">
        <f t="shared" si="4"/>
        <v>0.97641896127514261</v>
      </c>
      <c r="C53" s="120">
        <f t="shared" si="14"/>
        <v>3.414951183264292E-3</v>
      </c>
      <c r="D53" s="116">
        <f t="shared" si="16"/>
        <v>303</v>
      </c>
      <c r="E53" s="120">
        <f t="shared" si="15"/>
        <v>0.97621466266865431</v>
      </c>
      <c r="H53" s="116">
        <v>8</v>
      </c>
      <c r="I53" s="120">
        <v>9.4815124317963226E-2</v>
      </c>
      <c r="J53" s="120">
        <v>9.4815124317963226E-2</v>
      </c>
      <c r="K53" s="116">
        <f t="shared" si="17"/>
        <v>1983</v>
      </c>
      <c r="L53" s="120">
        <v>1</v>
      </c>
    </row>
    <row r="54" spans="1:12">
      <c r="A54" s="117">
        <f t="shared" ref="A54:A60" si="18">A53+12</f>
        <v>312</v>
      </c>
      <c r="B54" s="120">
        <f>HLOOKUP(A54,$C$13:$AG$16,4,FALSE)*$AH$18</f>
        <v>0.97560176684918987</v>
      </c>
      <c r="C54" s="120">
        <f t="shared" si="14"/>
        <v>-8.1719442595273861E-4</v>
      </c>
      <c r="D54" s="116">
        <f t="shared" si="16"/>
        <v>315</v>
      </c>
      <c r="E54" s="120">
        <f t="shared" si="15"/>
        <v>0.9766241258014996</v>
      </c>
      <c r="H54" s="116">
        <v>9</v>
      </c>
      <c r="I54" s="120">
        <v>9.3838134859245553E-2</v>
      </c>
      <c r="J54" s="120">
        <v>9.3838134859245553E-2</v>
      </c>
      <c r="K54" s="116">
        <f t="shared" si="17"/>
        <v>1982</v>
      </c>
      <c r="L54" s="120">
        <v>1</v>
      </c>
    </row>
    <row r="55" spans="1:12">
      <c r="A55" s="117">
        <f t="shared" si="18"/>
        <v>324</v>
      </c>
      <c r="B55" s="120">
        <f t="shared" ref="B55:B60" si="19">HLOOKUP(A55,$C$13:$AS$16,4,FALSE)*$AH$18</f>
        <v>0.97969120265842835</v>
      </c>
      <c r="C55" s="120">
        <f t="shared" si="14"/>
        <v>4.0894358092384842E-3</v>
      </c>
      <c r="D55" s="116">
        <f t="shared" si="16"/>
        <v>327</v>
      </c>
      <c r="E55" s="120">
        <f t="shared" si="15"/>
        <v>0.98070302706863166</v>
      </c>
      <c r="H55" s="116">
        <v>10</v>
      </c>
      <c r="I55" s="120">
        <v>0.11225430534543554</v>
      </c>
      <c r="J55" s="120">
        <v>0.11225430534543554</v>
      </c>
      <c r="K55" s="116">
        <f t="shared" si="17"/>
        <v>1981</v>
      </c>
      <c r="L55" s="120">
        <v>1</v>
      </c>
    </row>
    <row r="56" spans="1:12">
      <c r="A56" s="117">
        <f t="shared" si="18"/>
        <v>336</v>
      </c>
      <c r="B56" s="120">
        <f t="shared" si="19"/>
        <v>0.98373850029924204</v>
      </c>
      <c r="C56" s="120">
        <f t="shared" si="14"/>
        <v>4.0472976408136851E-3</v>
      </c>
      <c r="D56" s="116">
        <f t="shared" si="16"/>
        <v>339</v>
      </c>
      <c r="E56" s="120">
        <f t="shared" si="15"/>
        <v>0.98494889995679402</v>
      </c>
      <c r="G56" s="120"/>
      <c r="H56" s="116">
        <v>11</v>
      </c>
      <c r="I56" s="120">
        <v>0.13332713381100189</v>
      </c>
      <c r="J56" s="120">
        <v>0.13332713381100189</v>
      </c>
      <c r="K56" s="116">
        <f t="shared" si="17"/>
        <v>1980</v>
      </c>
      <c r="L56" s="120">
        <v>1</v>
      </c>
    </row>
    <row r="57" spans="1:12">
      <c r="A57" s="117">
        <f t="shared" si="18"/>
        <v>348</v>
      </c>
      <c r="B57" s="120">
        <f t="shared" si="19"/>
        <v>0.98858009892944965</v>
      </c>
      <c r="C57" s="120">
        <f t="shared" si="14"/>
        <v>4.8415986302076108E-3</v>
      </c>
      <c r="D57" s="116">
        <f t="shared" si="16"/>
        <v>351</v>
      </c>
      <c r="E57" s="120">
        <f t="shared" si="15"/>
        <v>0.99001771966578223</v>
      </c>
      <c r="H57" s="116">
        <v>12</v>
      </c>
      <c r="I57" s="120">
        <v>7.8427108339799947E-2</v>
      </c>
      <c r="J57" s="120">
        <v>7.8427108339799947E-2</v>
      </c>
      <c r="K57" s="116">
        <f>K56-1</f>
        <v>1979</v>
      </c>
      <c r="L57" s="120">
        <v>1</v>
      </c>
    </row>
    <row r="58" spans="1:12">
      <c r="A58" s="117">
        <f t="shared" si="18"/>
        <v>360</v>
      </c>
      <c r="B58" s="120">
        <f t="shared" si="19"/>
        <v>0.99433058187478018</v>
      </c>
      <c r="C58" s="120">
        <f t="shared" si="14"/>
        <v>5.7504829453305373E-3</v>
      </c>
      <c r="D58" s="116">
        <f t="shared" si="16"/>
        <v>363</v>
      </c>
      <c r="E58" s="120">
        <f>0.75*B58+0.25*B59</f>
        <v>0.9951762344738958</v>
      </c>
      <c r="I58" s="120"/>
      <c r="J58" s="120"/>
      <c r="L58" s="120"/>
    </row>
    <row r="59" spans="1:12">
      <c r="A59" s="117">
        <f t="shared" si="18"/>
        <v>372</v>
      </c>
      <c r="B59" s="120">
        <f t="shared" si="19"/>
        <v>0.99771319227124244</v>
      </c>
      <c r="C59" s="120">
        <f t="shared" si="14"/>
        <v>3.38261039646226E-3</v>
      </c>
      <c r="D59" s="116">
        <f t="shared" si="16"/>
        <v>375</v>
      </c>
      <c r="E59" s="120">
        <f>0.75*B59+0.25*B60</f>
        <v>0.99828489420343181</v>
      </c>
      <c r="I59" s="120"/>
      <c r="J59" s="120"/>
      <c r="L59" s="120"/>
    </row>
    <row r="60" spans="1:12">
      <c r="A60" s="117">
        <f t="shared" si="18"/>
        <v>384</v>
      </c>
      <c r="B60" s="120">
        <f t="shared" si="19"/>
        <v>1</v>
      </c>
      <c r="C60" s="120">
        <f t="shared" si="14"/>
        <v>2.2868077287575561E-3</v>
      </c>
      <c r="D60" s="116">
        <f t="shared" si="16"/>
        <v>387</v>
      </c>
      <c r="I60" s="120"/>
      <c r="J60" s="120"/>
      <c r="L60" s="120"/>
    </row>
    <row r="61" spans="1:12">
      <c r="A61" s="117"/>
      <c r="B61" s="120"/>
      <c r="C61" s="120"/>
      <c r="I61" s="120"/>
      <c r="J61" s="120"/>
      <c r="L61" s="120"/>
    </row>
    <row r="62" spans="1:12">
      <c r="A62" s="166" t="s">
        <v>216</v>
      </c>
      <c r="B62" s="120"/>
      <c r="C62" s="120"/>
      <c r="J62" s="117"/>
      <c r="K62" s="126"/>
      <c r="L62" s="126"/>
    </row>
    <row r="63" spans="1:12">
      <c r="A63" s="166" t="s">
        <v>195</v>
      </c>
      <c r="B63" s="120"/>
      <c r="C63" s="120"/>
    </row>
  </sheetData>
  <mergeCells count="19">
    <mergeCell ref="A1:M1"/>
    <mergeCell ref="N1:AD1"/>
    <mergeCell ref="A2:M2"/>
    <mergeCell ref="N2:AD2"/>
    <mergeCell ref="A3:M3"/>
    <mergeCell ref="N3:AD3"/>
    <mergeCell ref="A24:N24"/>
    <mergeCell ref="O24:P24"/>
    <mergeCell ref="A5:M5"/>
    <mergeCell ref="N5:AD5"/>
    <mergeCell ref="A10:M10"/>
    <mergeCell ref="N10:AD10"/>
    <mergeCell ref="A11:M11"/>
    <mergeCell ref="N11:AD11"/>
    <mergeCell ref="A20:N20"/>
    <mergeCell ref="A21:N21"/>
    <mergeCell ref="O21:P21"/>
    <mergeCell ref="A22:N22"/>
    <mergeCell ref="O22:P22"/>
  </mergeCells>
  <printOptions horizontalCentered="1"/>
  <pageMargins left="0.5" right="0.5" top="1" bottom="0.79" header="0.5" footer="0.5"/>
  <pageSetup scale="45" fitToWidth="0" fitToHeight="2" pageOrder="overThenDown" orientation="landscape" blackAndWhite="1" r:id="rId1"/>
  <headerFooter alignWithMargins="0">
    <oddFooter>&amp;L&amp;"Times New Roman,Regular"&amp;F&amp;C&amp;"EY Tagline,Regular"&amp;12e&amp;R&amp;"Times New Roman,Regular"&amp;A</oddFooter>
  </headerFooter>
  <colBreaks count="1" manualBreakCount="1">
    <brk id="13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6"/>
  <sheetViews>
    <sheetView zoomScale="160" zoomScaleNormal="160" workbookViewId="0"/>
  </sheetViews>
  <sheetFormatPr defaultRowHeight="12.75"/>
  <cols>
    <col min="1" max="1" width="15.85546875" bestFit="1" customWidth="1"/>
    <col min="2" max="3" width="10.7109375" bestFit="1" customWidth="1"/>
    <col min="4" max="4" width="20.140625" bestFit="1" customWidth="1"/>
  </cols>
  <sheetData>
    <row r="1" spans="1:4">
      <c r="A1" s="1" t="s">
        <v>214</v>
      </c>
      <c r="B1" s="2"/>
      <c r="C1" s="2"/>
      <c r="D1" s="2"/>
    </row>
    <row r="2" spans="1:4">
      <c r="A2" s="2"/>
      <c r="B2" s="2"/>
      <c r="C2" s="2"/>
      <c r="D2" s="2"/>
    </row>
    <row r="3" spans="1:4">
      <c r="A3" s="3" t="s">
        <v>0</v>
      </c>
      <c r="B3" s="4" t="s">
        <v>1</v>
      </c>
      <c r="C3" s="4"/>
      <c r="D3" s="3" t="s">
        <v>2</v>
      </c>
    </row>
    <row r="4" spans="1:4" ht="13.5" thickBot="1">
      <c r="A4" s="6" t="s">
        <v>3</v>
      </c>
      <c r="B4" s="6" t="s">
        <v>4</v>
      </c>
      <c r="C4" s="6" t="s">
        <v>5</v>
      </c>
      <c r="D4" s="6" t="s">
        <v>7</v>
      </c>
    </row>
    <row r="5" spans="1:4">
      <c r="A5" s="5"/>
      <c r="B5" s="7">
        <v>-1</v>
      </c>
      <c r="C5" s="7">
        <v>-2</v>
      </c>
      <c r="D5" s="7">
        <v>-4</v>
      </c>
    </row>
    <row r="6" spans="1:4">
      <c r="A6" s="2"/>
      <c r="B6" s="2"/>
      <c r="C6" s="2"/>
      <c r="D6" s="2"/>
    </row>
    <row r="7" spans="1:4">
      <c r="A7" s="2">
        <v>2000</v>
      </c>
      <c r="B7" s="16"/>
      <c r="C7" s="17">
        <v>3235000</v>
      </c>
      <c r="D7" s="17">
        <v>39090000</v>
      </c>
    </row>
    <row r="8" spans="1:4">
      <c r="A8" s="2">
        <v>2001</v>
      </c>
      <c r="B8" s="17">
        <v>3235000</v>
      </c>
      <c r="C8" s="17">
        <v>2910000</v>
      </c>
      <c r="D8" s="17">
        <v>39578000</v>
      </c>
    </row>
    <row r="9" spans="1:4">
      <c r="A9" s="2">
        <v>2002</v>
      </c>
      <c r="B9" s="17">
        <v>2910000</v>
      </c>
      <c r="C9" s="17">
        <v>2798000</v>
      </c>
      <c r="D9" s="17">
        <v>39695000</v>
      </c>
    </row>
    <row r="10" spans="1:4">
      <c r="A10" s="2">
        <v>2003</v>
      </c>
      <c r="B10" s="17">
        <v>2798000</v>
      </c>
      <c r="C10" s="17">
        <v>3038000</v>
      </c>
      <c r="D10" s="17">
        <v>39728000</v>
      </c>
    </row>
    <row r="11" spans="1:4">
      <c r="A11" s="2">
        <v>2004</v>
      </c>
      <c r="B11" s="17">
        <v>3038000</v>
      </c>
      <c r="C11" s="17">
        <v>1887000</v>
      </c>
      <c r="D11" s="17">
        <v>40410000</v>
      </c>
    </row>
    <row r="12" spans="1:4">
      <c r="A12" s="2">
        <f t="shared" ref="A12:A16" si="0">A11+1</f>
        <v>2005</v>
      </c>
      <c r="B12" s="17">
        <v>1887000</v>
      </c>
      <c r="C12" s="17">
        <v>1826000</v>
      </c>
      <c r="D12" s="17">
        <v>40429000</v>
      </c>
    </row>
    <row r="13" spans="1:4">
      <c r="A13" s="2">
        <f t="shared" si="0"/>
        <v>2006</v>
      </c>
      <c r="B13" s="17">
        <v>1826000</v>
      </c>
      <c r="C13" s="17">
        <v>1603000</v>
      </c>
      <c r="D13" s="17">
        <v>40986000</v>
      </c>
    </row>
    <row r="14" spans="1:4">
      <c r="A14" s="2">
        <f t="shared" si="0"/>
        <v>2007</v>
      </c>
      <c r="B14" s="17">
        <v>1603000</v>
      </c>
      <c r="C14" s="17">
        <v>1344000</v>
      </c>
      <c r="D14" s="17">
        <v>41374000</v>
      </c>
    </row>
    <row r="15" spans="1:4">
      <c r="A15" s="2">
        <f t="shared" si="0"/>
        <v>2008</v>
      </c>
      <c r="B15" s="17">
        <v>1344000</v>
      </c>
      <c r="C15" s="17">
        <v>1315000</v>
      </c>
      <c r="D15" s="17">
        <v>41417000</v>
      </c>
    </row>
    <row r="16" spans="1:4">
      <c r="A16" s="2">
        <f t="shared" si="0"/>
        <v>2009</v>
      </c>
      <c r="B16" s="17">
        <v>1315000</v>
      </c>
      <c r="C16" s="17">
        <v>1145000</v>
      </c>
      <c r="D16" s="17">
        <v>41776000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L42"/>
  <sheetViews>
    <sheetView zoomScale="160" zoomScaleNormal="160" workbookViewId="0"/>
  </sheetViews>
  <sheetFormatPr defaultRowHeight="12.75"/>
  <cols>
    <col min="1" max="1" width="8.42578125" style="2" bestFit="1" customWidth="1"/>
    <col min="2" max="2" width="11.85546875" style="2" bestFit="1" customWidth="1"/>
    <col min="3" max="3" width="13.140625" style="2" bestFit="1" customWidth="1"/>
    <col min="4" max="5" width="19.28515625" style="2" bestFit="1" customWidth="1"/>
    <col min="6" max="6" width="30" style="2" bestFit="1" customWidth="1"/>
    <col min="7" max="7" width="11.85546875" style="2" bestFit="1" customWidth="1"/>
    <col min="8" max="8" width="11.7109375" style="2" bestFit="1" customWidth="1"/>
    <col min="9" max="9" width="14.7109375" style="2" bestFit="1" customWidth="1"/>
    <col min="10" max="10" width="11.5703125" style="2" bestFit="1" customWidth="1"/>
    <col min="11" max="11" width="23.28515625" style="2" bestFit="1" customWidth="1"/>
    <col min="12" max="12" width="27.140625" style="2" bestFit="1" customWidth="1"/>
    <col min="13" max="16384" width="9.140625" style="2"/>
  </cols>
  <sheetData>
    <row r="1" spans="1:12">
      <c r="A1" s="1" t="s">
        <v>214</v>
      </c>
    </row>
    <row r="2" spans="1:12">
      <c r="A2" s="100" t="s">
        <v>136</v>
      </c>
    </row>
    <row r="3" spans="1:12">
      <c r="A3" s="3" t="s">
        <v>0</v>
      </c>
      <c r="B3" s="4" t="s">
        <v>1</v>
      </c>
      <c r="C3" s="4"/>
      <c r="D3" s="5"/>
      <c r="E3" s="3"/>
      <c r="F3" s="5"/>
      <c r="G3" s="5"/>
    </row>
    <row r="4" spans="1:12" ht="13.5" thickBo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K4"/>
      <c r="L4"/>
    </row>
    <row r="5" spans="1:12">
      <c r="A5" s="5"/>
      <c r="B5" s="7">
        <v>-1</v>
      </c>
      <c r="C5" s="7">
        <v>-2</v>
      </c>
      <c r="D5" s="7" t="s">
        <v>26</v>
      </c>
      <c r="E5" s="7">
        <v>-4</v>
      </c>
      <c r="F5" s="7" t="s">
        <v>27</v>
      </c>
      <c r="G5" s="21" t="s">
        <v>28</v>
      </c>
      <c r="K5"/>
      <c r="L5"/>
    </row>
    <row r="6" spans="1:12">
      <c r="K6"/>
      <c r="L6"/>
    </row>
    <row r="7" spans="1:12">
      <c r="A7" s="2">
        <v>2000</v>
      </c>
      <c r="B7" s="16"/>
      <c r="C7" s="17">
        <v>3235000</v>
      </c>
      <c r="D7" s="15"/>
      <c r="E7" s="17">
        <v>39090000</v>
      </c>
      <c r="F7" s="15"/>
      <c r="G7" s="15"/>
      <c r="I7" s="8"/>
      <c r="K7"/>
      <c r="L7"/>
    </row>
    <row r="8" spans="1:12">
      <c r="A8" s="2">
        <v>2001</v>
      </c>
      <c r="B8" s="17">
        <v>3235000</v>
      </c>
      <c r="C8" s="17">
        <v>2910000</v>
      </c>
      <c r="D8" s="18"/>
      <c r="E8" s="17">
        <v>39578000</v>
      </c>
      <c r="F8" s="18"/>
      <c r="G8" s="19"/>
      <c r="I8" s="8"/>
      <c r="J8" s="8"/>
      <c r="K8"/>
      <c r="L8"/>
    </row>
    <row r="9" spans="1:12">
      <c r="A9" s="2">
        <v>2002</v>
      </c>
      <c r="B9" s="17">
        <v>2910000</v>
      </c>
      <c r="C9" s="17">
        <v>2798000</v>
      </c>
      <c r="D9" s="18"/>
      <c r="E9" s="17">
        <v>39695000</v>
      </c>
      <c r="F9" s="18"/>
      <c r="G9" s="19"/>
      <c r="I9" s="8"/>
      <c r="J9" s="8"/>
      <c r="K9"/>
      <c r="L9"/>
    </row>
    <row r="10" spans="1:12">
      <c r="A10" s="2">
        <v>2003</v>
      </c>
      <c r="B10" s="17">
        <v>2798000</v>
      </c>
      <c r="C10" s="17">
        <v>3038000</v>
      </c>
      <c r="D10" s="18"/>
      <c r="E10" s="17">
        <v>39728000</v>
      </c>
      <c r="F10" s="18"/>
      <c r="G10" s="19"/>
      <c r="I10" s="8"/>
      <c r="J10" s="8"/>
      <c r="K10"/>
      <c r="L10"/>
    </row>
    <row r="11" spans="1:12">
      <c r="A11" s="2">
        <v>2004</v>
      </c>
      <c r="B11" s="17">
        <v>3038000</v>
      </c>
      <c r="C11" s="17">
        <v>1887000</v>
      </c>
      <c r="D11" s="18"/>
      <c r="E11" s="17">
        <v>40410000</v>
      </c>
      <c r="F11" s="18"/>
      <c r="G11" s="19"/>
      <c r="I11" s="8"/>
      <c r="J11" s="8"/>
      <c r="K11"/>
      <c r="L11"/>
    </row>
    <row r="12" spans="1:12">
      <c r="A12" s="2">
        <f t="shared" ref="A12:A16" si="0">A11+1</f>
        <v>2005</v>
      </c>
      <c r="B12" s="17">
        <v>1887000</v>
      </c>
      <c r="C12" s="17">
        <v>1826000</v>
      </c>
      <c r="D12" s="18"/>
      <c r="E12" s="17">
        <v>40429000</v>
      </c>
      <c r="F12" s="18"/>
      <c r="G12" s="19"/>
      <c r="I12" s="8"/>
      <c r="J12" s="8"/>
      <c r="K12"/>
      <c r="L12"/>
    </row>
    <row r="13" spans="1:12">
      <c r="A13" s="2">
        <f t="shared" si="0"/>
        <v>2006</v>
      </c>
      <c r="B13" s="17">
        <v>1826000</v>
      </c>
      <c r="C13" s="17">
        <v>1603000</v>
      </c>
      <c r="D13" s="18"/>
      <c r="E13" s="17">
        <v>40986000</v>
      </c>
      <c r="F13" s="18"/>
      <c r="G13" s="19"/>
      <c r="I13" s="8"/>
      <c r="J13" s="8"/>
      <c r="K13"/>
      <c r="L13"/>
    </row>
    <row r="14" spans="1:12">
      <c r="A14" s="2">
        <f t="shared" si="0"/>
        <v>2007</v>
      </c>
      <c r="B14" s="17">
        <v>1603000</v>
      </c>
      <c r="C14" s="17">
        <v>1344000</v>
      </c>
      <c r="D14" s="18"/>
      <c r="E14" s="17">
        <v>41374000</v>
      </c>
      <c r="F14" s="18"/>
      <c r="G14" s="19"/>
      <c r="I14" s="8"/>
      <c r="J14" s="8"/>
      <c r="K14"/>
      <c r="L14"/>
    </row>
    <row r="15" spans="1:12">
      <c r="A15" s="2">
        <f t="shared" si="0"/>
        <v>2008</v>
      </c>
      <c r="B15" s="17">
        <v>1344000</v>
      </c>
      <c r="C15" s="17">
        <v>1315000</v>
      </c>
      <c r="D15" s="18"/>
      <c r="E15" s="17">
        <v>41417000</v>
      </c>
      <c r="F15" s="18"/>
      <c r="G15" s="19"/>
      <c r="I15" s="8"/>
      <c r="J15" s="8"/>
      <c r="K15"/>
      <c r="L15"/>
    </row>
    <row r="16" spans="1:12">
      <c r="A16" s="2">
        <f t="shared" si="0"/>
        <v>2009</v>
      </c>
      <c r="B16" s="17">
        <v>1315000</v>
      </c>
      <c r="C16" s="17">
        <v>1145000</v>
      </c>
      <c r="D16" s="18"/>
      <c r="E16" s="17">
        <v>41776000</v>
      </c>
      <c r="F16" s="18"/>
      <c r="G16" s="19"/>
      <c r="K16"/>
      <c r="L16"/>
    </row>
    <row r="17" spans="1:12">
      <c r="A17" s="10"/>
      <c r="B17" s="9"/>
      <c r="C17" s="8"/>
      <c r="I17" s="8"/>
    </row>
    <row r="18" spans="1:12">
      <c r="F18" s="2" t="s">
        <v>10</v>
      </c>
      <c r="G18" s="19"/>
    </row>
    <row r="19" spans="1:12">
      <c r="F19" s="2" t="s">
        <v>11</v>
      </c>
      <c r="G19" s="19"/>
    </row>
    <row r="20" spans="1:12">
      <c r="F20" s="2" t="s">
        <v>12</v>
      </c>
      <c r="G20" s="19"/>
    </row>
    <row r="21" spans="1:12">
      <c r="F21" s="2" t="s">
        <v>13</v>
      </c>
      <c r="G21" s="19"/>
    </row>
    <row r="23" spans="1:12">
      <c r="F23" s="11" t="s">
        <v>22</v>
      </c>
      <c r="G23" s="19"/>
    </row>
    <row r="25" spans="1:12">
      <c r="A25" s="100" t="s">
        <v>137</v>
      </c>
    </row>
    <row r="26" spans="1:12">
      <c r="A26" s="3" t="s">
        <v>0</v>
      </c>
      <c r="B26" s="3" t="s">
        <v>14</v>
      </c>
      <c r="C26" s="3" t="s">
        <v>15</v>
      </c>
      <c r="D26" s="3" t="s">
        <v>2</v>
      </c>
      <c r="E26" s="3" t="s">
        <v>16</v>
      </c>
      <c r="F26" s="3" t="s">
        <v>17</v>
      </c>
    </row>
    <row r="27" spans="1:12" ht="13.5" thickBot="1">
      <c r="A27" s="6" t="s">
        <v>3</v>
      </c>
      <c r="B27" s="6" t="s">
        <v>18</v>
      </c>
      <c r="C27" s="6" t="s">
        <v>19</v>
      </c>
      <c r="D27" s="6" t="s">
        <v>7</v>
      </c>
      <c r="E27" s="6" t="s">
        <v>20</v>
      </c>
      <c r="F27" s="12">
        <v>40543</v>
      </c>
    </row>
    <row r="28" spans="1:12" ht="14.25">
      <c r="A28" s="13"/>
      <c r="B28" s="7">
        <v>-1</v>
      </c>
      <c r="C28" s="7">
        <f>B28-1</f>
        <v>-2</v>
      </c>
      <c r="D28" s="7">
        <v>-3</v>
      </c>
      <c r="E28" s="7" t="s">
        <v>29</v>
      </c>
      <c r="F28" s="7" t="s">
        <v>27</v>
      </c>
    </row>
    <row r="29" spans="1:12">
      <c r="E29" s="20" t="s">
        <v>24</v>
      </c>
      <c r="F29" s="14" t="s">
        <v>25</v>
      </c>
    </row>
    <row r="30" spans="1:12">
      <c r="A30" s="2">
        <v>2000</v>
      </c>
      <c r="B30" s="17">
        <v>3235000</v>
      </c>
      <c r="C30" s="19"/>
      <c r="D30" s="17">
        <v>39090000</v>
      </c>
      <c r="E30" s="18"/>
      <c r="F30" s="18"/>
      <c r="H30"/>
      <c r="I30"/>
      <c r="J30"/>
      <c r="K30"/>
      <c r="L30"/>
    </row>
    <row r="31" spans="1:12">
      <c r="A31" s="2">
        <v>2001</v>
      </c>
      <c r="B31" s="17">
        <v>2910000</v>
      </c>
      <c r="C31" s="19"/>
      <c r="D31" s="17">
        <v>39578000</v>
      </c>
      <c r="E31" s="18"/>
      <c r="F31" s="18"/>
      <c r="H31"/>
      <c r="I31"/>
      <c r="J31"/>
      <c r="K31"/>
      <c r="L31"/>
    </row>
    <row r="32" spans="1:12">
      <c r="A32" s="2">
        <v>2002</v>
      </c>
      <c r="B32" s="17">
        <v>2798000</v>
      </c>
      <c r="C32" s="19"/>
      <c r="D32" s="17">
        <v>39695000</v>
      </c>
      <c r="E32" s="18"/>
      <c r="F32" s="18"/>
      <c r="H32"/>
      <c r="I32"/>
      <c r="J32"/>
      <c r="K32"/>
      <c r="L32"/>
    </row>
    <row r="33" spans="1:12">
      <c r="A33" s="2">
        <v>2003</v>
      </c>
      <c r="B33" s="17">
        <v>3038000</v>
      </c>
      <c r="C33" s="19"/>
      <c r="D33" s="17">
        <v>39728000</v>
      </c>
      <c r="E33" s="18"/>
      <c r="F33" s="18"/>
      <c r="H33"/>
      <c r="I33"/>
      <c r="J33"/>
      <c r="K33"/>
      <c r="L33"/>
    </row>
    <row r="34" spans="1:12">
      <c r="A34" s="2">
        <v>2004</v>
      </c>
      <c r="B34" s="17">
        <v>1887000</v>
      </c>
      <c r="C34" s="19"/>
      <c r="D34" s="17">
        <v>40410000</v>
      </c>
      <c r="E34" s="18"/>
      <c r="F34" s="18"/>
      <c r="H34"/>
      <c r="I34"/>
      <c r="J34"/>
      <c r="K34"/>
      <c r="L34"/>
    </row>
    <row r="35" spans="1:12">
      <c r="A35" s="2">
        <f t="shared" ref="A35:A39" si="1">A34+1</f>
        <v>2005</v>
      </c>
      <c r="B35" s="17">
        <v>1826000</v>
      </c>
      <c r="C35" s="19"/>
      <c r="D35" s="17">
        <v>40429000</v>
      </c>
      <c r="E35" s="18"/>
      <c r="F35" s="18"/>
      <c r="H35"/>
      <c r="I35"/>
      <c r="J35"/>
      <c r="K35"/>
      <c r="L35"/>
    </row>
    <row r="36" spans="1:12">
      <c r="A36" s="2">
        <f t="shared" si="1"/>
        <v>2006</v>
      </c>
      <c r="B36" s="17">
        <v>1603000</v>
      </c>
      <c r="C36" s="19"/>
      <c r="D36" s="17">
        <v>40986000</v>
      </c>
      <c r="E36" s="18"/>
      <c r="F36" s="18"/>
      <c r="H36"/>
      <c r="I36"/>
      <c r="J36"/>
      <c r="K36"/>
      <c r="L36"/>
    </row>
    <row r="37" spans="1:12">
      <c r="A37" s="2">
        <f t="shared" si="1"/>
        <v>2007</v>
      </c>
      <c r="B37" s="17">
        <v>1344000</v>
      </c>
      <c r="C37" s="19"/>
      <c r="D37" s="17">
        <v>41374000</v>
      </c>
      <c r="E37" s="18"/>
      <c r="F37" s="18"/>
      <c r="H37"/>
      <c r="I37"/>
      <c r="J37"/>
      <c r="K37"/>
      <c r="L37"/>
    </row>
    <row r="38" spans="1:12">
      <c r="A38" s="2">
        <f t="shared" si="1"/>
        <v>2008</v>
      </c>
      <c r="B38" s="17">
        <v>1315000</v>
      </c>
      <c r="C38" s="19"/>
      <c r="D38" s="17">
        <v>41417000</v>
      </c>
      <c r="E38" s="18"/>
      <c r="F38" s="18"/>
      <c r="H38"/>
      <c r="I38"/>
      <c r="J38"/>
      <c r="K38"/>
      <c r="L38"/>
    </row>
    <row r="39" spans="1:12">
      <c r="A39" s="2">
        <f t="shared" si="1"/>
        <v>2009</v>
      </c>
      <c r="B39" s="17">
        <v>1145000</v>
      </c>
      <c r="C39" s="19"/>
      <c r="D39" s="17">
        <v>41776000</v>
      </c>
      <c r="E39" s="18"/>
      <c r="F39" s="18"/>
      <c r="H39"/>
      <c r="I39"/>
      <c r="J39"/>
      <c r="K39"/>
      <c r="L39"/>
    </row>
    <row r="40" spans="1:12">
      <c r="H40"/>
      <c r="I40"/>
      <c r="J40"/>
      <c r="K40"/>
      <c r="L40"/>
    </row>
    <row r="41" spans="1:12">
      <c r="A41" s="2" t="s">
        <v>21</v>
      </c>
      <c r="E41" s="2" t="s">
        <v>23</v>
      </c>
      <c r="F41" s="97"/>
      <c r="H41"/>
      <c r="I41"/>
      <c r="J41"/>
      <c r="K41"/>
      <c r="L41"/>
    </row>
    <row r="42" spans="1:12">
      <c r="H42"/>
      <c r="I42"/>
      <c r="J42"/>
      <c r="K42"/>
      <c r="L42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L41"/>
  <sheetViews>
    <sheetView tabSelected="1" topLeftCell="A35" zoomScale="160" zoomScaleNormal="160" workbookViewId="0">
      <selection activeCell="A50" sqref="A50"/>
    </sheetView>
  </sheetViews>
  <sheetFormatPr defaultRowHeight="12.75"/>
  <cols>
    <col min="1" max="1" width="8.42578125" style="2" bestFit="1" customWidth="1"/>
    <col min="2" max="2" width="11.85546875" style="2" bestFit="1" customWidth="1"/>
    <col min="3" max="3" width="13.140625" style="2" bestFit="1" customWidth="1"/>
    <col min="4" max="5" width="19.28515625" style="2" bestFit="1" customWidth="1"/>
    <col min="6" max="6" width="30" style="2" bestFit="1" customWidth="1"/>
    <col min="7" max="7" width="11.85546875" style="2" bestFit="1" customWidth="1"/>
    <col min="8" max="8" width="11.7109375" style="2" bestFit="1" customWidth="1"/>
    <col min="9" max="9" width="14.7109375" style="2" bestFit="1" customWidth="1"/>
    <col min="10" max="10" width="11.5703125" style="2" bestFit="1" customWidth="1"/>
    <col min="11" max="11" width="23.28515625" style="2" bestFit="1" customWidth="1"/>
    <col min="12" max="12" width="27.140625" style="2" bestFit="1" customWidth="1"/>
    <col min="13" max="16384" width="9.140625" style="2"/>
  </cols>
  <sheetData>
    <row r="1" spans="1:12">
      <c r="A1" s="1" t="s">
        <v>214</v>
      </c>
    </row>
    <row r="2" spans="1:12">
      <c r="A2" s="100" t="s">
        <v>136</v>
      </c>
    </row>
    <row r="3" spans="1:12">
      <c r="A3" s="3" t="s">
        <v>0</v>
      </c>
      <c r="B3" s="4" t="s">
        <v>1</v>
      </c>
      <c r="C3" s="4"/>
      <c r="D3" s="5"/>
      <c r="E3" s="3"/>
      <c r="F3" s="5"/>
      <c r="G3" s="5"/>
    </row>
    <row r="4" spans="1:12" ht="13.5" thickBo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K4"/>
      <c r="L4"/>
    </row>
    <row r="5" spans="1:12">
      <c r="A5" s="5"/>
      <c r="B5" s="7">
        <v>-1</v>
      </c>
      <c r="C5" s="7">
        <v>-2</v>
      </c>
      <c r="D5" s="7" t="s">
        <v>204</v>
      </c>
      <c r="E5" s="7">
        <v>-4</v>
      </c>
      <c r="F5" s="7" t="s">
        <v>205</v>
      </c>
      <c r="G5" s="21" t="s">
        <v>206</v>
      </c>
      <c r="K5"/>
      <c r="L5"/>
    </row>
    <row r="6" spans="1:12">
      <c r="K6"/>
      <c r="L6"/>
    </row>
    <row r="7" spans="1:12">
      <c r="A7" s="2">
        <v>2000</v>
      </c>
      <c r="B7" s="16"/>
      <c r="C7" s="17">
        <v>3235000</v>
      </c>
      <c r="D7" s="15"/>
      <c r="E7" s="17">
        <v>39090000</v>
      </c>
      <c r="F7" s="15"/>
      <c r="G7" s="15"/>
      <c r="I7" s="8"/>
      <c r="K7"/>
      <c r="L7"/>
    </row>
    <row r="8" spans="1:12">
      <c r="A8" s="2">
        <v>2001</v>
      </c>
      <c r="B8" s="17">
        <v>3235000</v>
      </c>
      <c r="C8" s="17">
        <v>2910000</v>
      </c>
      <c r="D8" s="18">
        <f>-(C8-B8)</f>
        <v>325000</v>
      </c>
      <c r="E8" s="17">
        <v>39578000</v>
      </c>
      <c r="F8" s="18">
        <f>E8-E7</f>
        <v>488000</v>
      </c>
      <c r="G8" s="19">
        <f>F8/D8</f>
        <v>1.5015384615384615</v>
      </c>
      <c r="I8" s="8"/>
      <c r="J8" s="8"/>
      <c r="K8"/>
      <c r="L8"/>
    </row>
    <row r="9" spans="1:12">
      <c r="A9" s="2">
        <v>2002</v>
      </c>
      <c r="B9" s="17">
        <v>2910000</v>
      </c>
      <c r="C9" s="17">
        <v>2798000</v>
      </c>
      <c r="D9" s="18">
        <f>-(C9-B9)</f>
        <v>112000</v>
      </c>
      <c r="E9" s="17">
        <v>39695000</v>
      </c>
      <c r="F9" s="18">
        <f>E9-E8</f>
        <v>117000</v>
      </c>
      <c r="G9" s="19">
        <f t="shared" ref="G9:G11" si="0">F9/D9</f>
        <v>1.0446428571428572</v>
      </c>
      <c r="I9" s="8"/>
      <c r="J9" s="8"/>
      <c r="K9"/>
      <c r="L9"/>
    </row>
    <row r="10" spans="1:12">
      <c r="A10" s="2">
        <v>2003</v>
      </c>
      <c r="B10" s="17">
        <v>2798000</v>
      </c>
      <c r="C10" s="17">
        <v>3038000</v>
      </c>
      <c r="D10" s="18">
        <f>-(C10-B10)</f>
        <v>-240000</v>
      </c>
      <c r="E10" s="17">
        <v>39728000</v>
      </c>
      <c r="F10" s="18">
        <f>E10-E9</f>
        <v>33000</v>
      </c>
      <c r="G10" s="19">
        <f t="shared" si="0"/>
        <v>-0.13750000000000001</v>
      </c>
      <c r="I10" s="8"/>
      <c r="J10" s="8"/>
      <c r="K10"/>
      <c r="L10"/>
    </row>
    <row r="11" spans="1:12">
      <c r="A11" s="2">
        <v>2004</v>
      </c>
      <c r="B11" s="17">
        <v>3038000</v>
      </c>
      <c r="C11" s="17">
        <v>1887000</v>
      </c>
      <c r="D11" s="18">
        <f>-(C11-B11)</f>
        <v>1151000</v>
      </c>
      <c r="E11" s="17">
        <v>40410000</v>
      </c>
      <c r="F11" s="18">
        <f>E11-E10</f>
        <v>682000</v>
      </c>
      <c r="G11" s="19">
        <f t="shared" si="0"/>
        <v>0.59252823631624674</v>
      </c>
      <c r="I11" s="8"/>
      <c r="J11" s="8"/>
      <c r="K11"/>
      <c r="L11"/>
    </row>
    <row r="12" spans="1:12">
      <c r="A12" s="2">
        <f t="shared" ref="A12:A16" si="1">A11+1</f>
        <v>2005</v>
      </c>
      <c r="B12" s="17">
        <v>1887000</v>
      </c>
      <c r="C12" s="17">
        <v>1826000</v>
      </c>
      <c r="D12" s="18">
        <f t="shared" ref="D12:D16" si="2">-(C12-B12)</f>
        <v>61000</v>
      </c>
      <c r="E12" s="17">
        <v>40429000</v>
      </c>
      <c r="F12" s="18">
        <f>E12-E11</f>
        <v>19000</v>
      </c>
      <c r="G12" s="19">
        <f>F12/D12</f>
        <v>0.31147540983606559</v>
      </c>
      <c r="I12" s="8"/>
      <c r="J12" s="8"/>
      <c r="K12"/>
      <c r="L12"/>
    </row>
    <row r="13" spans="1:12">
      <c r="A13" s="2">
        <f t="shared" si="1"/>
        <v>2006</v>
      </c>
      <c r="B13" s="17">
        <v>1826000</v>
      </c>
      <c r="C13" s="17">
        <v>1603000</v>
      </c>
      <c r="D13" s="18">
        <f t="shared" si="2"/>
        <v>223000</v>
      </c>
      <c r="E13" s="17">
        <v>40986000</v>
      </c>
      <c r="F13" s="18">
        <f t="shared" ref="F13:F16" si="3">E13-E12</f>
        <v>557000</v>
      </c>
      <c r="G13" s="19">
        <f t="shared" ref="G13:G16" si="4">F13/D13</f>
        <v>2.4977578475336322</v>
      </c>
      <c r="I13" s="8"/>
      <c r="J13" s="8"/>
      <c r="K13"/>
      <c r="L13"/>
    </row>
    <row r="14" spans="1:12">
      <c r="A14" s="2">
        <f t="shared" si="1"/>
        <v>2007</v>
      </c>
      <c r="B14" s="17">
        <v>1603000</v>
      </c>
      <c r="C14" s="17">
        <v>1344000</v>
      </c>
      <c r="D14" s="18">
        <f t="shared" si="2"/>
        <v>259000</v>
      </c>
      <c r="E14" s="17">
        <v>41374000</v>
      </c>
      <c r="F14" s="18">
        <f t="shared" si="3"/>
        <v>388000</v>
      </c>
      <c r="G14" s="19">
        <f t="shared" si="4"/>
        <v>1.498069498069498</v>
      </c>
      <c r="I14" s="8"/>
      <c r="J14" s="8"/>
      <c r="K14"/>
      <c r="L14"/>
    </row>
    <row r="15" spans="1:12">
      <c r="A15" s="2">
        <f t="shared" si="1"/>
        <v>2008</v>
      </c>
      <c r="B15" s="17">
        <v>1344000</v>
      </c>
      <c r="C15" s="17">
        <v>1315000</v>
      </c>
      <c r="D15" s="18">
        <f t="shared" si="2"/>
        <v>29000</v>
      </c>
      <c r="E15" s="17">
        <v>41417000</v>
      </c>
      <c r="F15" s="18">
        <f t="shared" si="3"/>
        <v>43000</v>
      </c>
      <c r="G15" s="19">
        <f t="shared" si="4"/>
        <v>1.4827586206896552</v>
      </c>
      <c r="I15" s="8"/>
      <c r="J15" s="8"/>
      <c r="K15"/>
      <c r="L15"/>
    </row>
    <row r="16" spans="1:12">
      <c r="A16" s="2">
        <f t="shared" si="1"/>
        <v>2009</v>
      </c>
      <c r="B16" s="17">
        <v>1315000</v>
      </c>
      <c r="C16" s="17">
        <v>1145000</v>
      </c>
      <c r="D16" s="18">
        <f t="shared" si="2"/>
        <v>170000</v>
      </c>
      <c r="E16" s="17">
        <v>41776000</v>
      </c>
      <c r="F16" s="18">
        <f t="shared" si="3"/>
        <v>359000</v>
      </c>
      <c r="G16" s="19">
        <f t="shared" si="4"/>
        <v>2.111764705882353</v>
      </c>
      <c r="K16"/>
      <c r="L16"/>
    </row>
    <row r="17" spans="1:10">
      <c r="A17" s="10"/>
      <c r="B17" s="9"/>
      <c r="C17" s="8"/>
      <c r="I17" s="8"/>
    </row>
    <row r="18" spans="1:10">
      <c r="F18" s="2" t="s">
        <v>10</v>
      </c>
      <c r="G18" s="19">
        <f>AVERAGE(G14:G16)</f>
        <v>1.6975309415471689</v>
      </c>
    </row>
    <row r="19" spans="1:10">
      <c r="F19" s="2" t="s">
        <v>11</v>
      </c>
      <c r="G19" s="19">
        <f>AVERAGE(G12:G16)</f>
        <v>1.5803652164022406</v>
      </c>
    </row>
    <row r="20" spans="1:10">
      <c r="F20" s="2" t="s">
        <v>12</v>
      </c>
      <c r="G20" s="19">
        <f>AVERAGE(G10:G16)</f>
        <v>1.1938363311896356</v>
      </c>
    </row>
    <row r="21" spans="1:10">
      <c r="F21" s="2" t="s">
        <v>13</v>
      </c>
      <c r="G21" s="19">
        <f>AVERAGE(G8:G16)</f>
        <v>1.2114484041120854</v>
      </c>
    </row>
    <row r="23" spans="1:10">
      <c r="F23" s="11" t="s">
        <v>22</v>
      </c>
      <c r="G23" s="19">
        <f>G18</f>
        <v>1.6975309415471689</v>
      </c>
    </row>
    <row r="25" spans="1:10">
      <c r="A25" s="100" t="s">
        <v>137</v>
      </c>
    </row>
    <row r="26" spans="1:10">
      <c r="A26" s="3" t="s">
        <v>0</v>
      </c>
      <c r="B26" s="3" t="s">
        <v>14</v>
      </c>
      <c r="C26" s="3" t="s">
        <v>15</v>
      </c>
      <c r="D26" s="3" t="s">
        <v>2</v>
      </c>
      <c r="E26" s="3" t="s">
        <v>16</v>
      </c>
      <c r="F26" s="3" t="s">
        <v>17</v>
      </c>
    </row>
    <row r="27" spans="1:10" ht="13.5" thickBot="1">
      <c r="A27" s="6" t="s">
        <v>3</v>
      </c>
      <c r="B27" s="6" t="s">
        <v>18</v>
      </c>
      <c r="C27" s="6" t="s">
        <v>19</v>
      </c>
      <c r="D27" s="6" t="s">
        <v>7</v>
      </c>
      <c r="E27" s="6" t="s">
        <v>20</v>
      </c>
      <c r="F27" s="12">
        <v>40543</v>
      </c>
    </row>
    <row r="28" spans="1:10" ht="14.25">
      <c r="A28" s="13"/>
      <c r="B28" s="7">
        <v>-1</v>
      </c>
      <c r="C28" s="7">
        <f>B28-1</f>
        <v>-2</v>
      </c>
      <c r="D28" s="7">
        <v>-3</v>
      </c>
      <c r="E28" s="7" t="s">
        <v>207</v>
      </c>
      <c r="F28" s="7" t="s">
        <v>208</v>
      </c>
    </row>
    <row r="29" spans="1:10">
      <c r="E29" s="20" t="s">
        <v>24</v>
      </c>
      <c r="F29" s="14" t="s">
        <v>25</v>
      </c>
      <c r="H29"/>
      <c r="I29"/>
      <c r="J29"/>
    </row>
    <row r="30" spans="1:10">
      <c r="A30" s="2">
        <v>2000</v>
      </c>
      <c r="B30" s="17">
        <v>3235000</v>
      </c>
      <c r="C30" s="19">
        <f>$G$23</f>
        <v>1.6975309415471689</v>
      </c>
      <c r="D30" s="17">
        <v>39090000</v>
      </c>
      <c r="E30" s="18">
        <f>$D$39-D30</f>
        <v>2686000</v>
      </c>
      <c r="F30" s="18">
        <f>B30*C30-E30</f>
        <v>2805512.5959050916</v>
      </c>
      <c r="H30"/>
      <c r="I30"/>
      <c r="J30"/>
    </row>
    <row r="31" spans="1:10">
      <c r="A31" s="2">
        <v>2001</v>
      </c>
      <c r="B31" s="17">
        <v>2910000</v>
      </c>
      <c r="C31" s="19">
        <f t="shared" ref="C31:C39" si="5">$G$23</f>
        <v>1.6975309415471689</v>
      </c>
      <c r="D31" s="17">
        <v>39578000</v>
      </c>
      <c r="E31" s="18">
        <f t="shared" ref="E31:E39" si="6">$D$39-D31</f>
        <v>2198000</v>
      </c>
      <c r="F31" s="18">
        <f t="shared" ref="F31:F39" si="7">B31*C31-E31</f>
        <v>2741815.0399022615</v>
      </c>
      <c r="H31"/>
      <c r="I31"/>
      <c r="J31"/>
    </row>
    <row r="32" spans="1:10">
      <c r="A32" s="2">
        <v>2002</v>
      </c>
      <c r="B32" s="17">
        <v>2798000</v>
      </c>
      <c r="C32" s="19">
        <f t="shared" si="5"/>
        <v>1.6975309415471689</v>
      </c>
      <c r="D32" s="17">
        <v>39695000</v>
      </c>
      <c r="E32" s="18">
        <f t="shared" si="6"/>
        <v>2081000</v>
      </c>
      <c r="F32" s="18">
        <f t="shared" si="7"/>
        <v>2668691.5744489785</v>
      </c>
      <c r="H32"/>
      <c r="I32"/>
      <c r="J32"/>
    </row>
    <row r="33" spans="1:10">
      <c r="A33" s="2">
        <v>2003</v>
      </c>
      <c r="B33" s="17">
        <v>3038000</v>
      </c>
      <c r="C33" s="19">
        <f t="shared" si="5"/>
        <v>1.6975309415471689</v>
      </c>
      <c r="D33" s="17">
        <v>39728000</v>
      </c>
      <c r="E33" s="18">
        <f t="shared" si="6"/>
        <v>2048000</v>
      </c>
      <c r="F33" s="18">
        <f t="shared" si="7"/>
        <v>3109099.0004202994</v>
      </c>
      <c r="H33"/>
      <c r="I33"/>
      <c r="J33"/>
    </row>
    <row r="34" spans="1:10">
      <c r="A34" s="2">
        <v>2004</v>
      </c>
      <c r="B34" s="17">
        <v>1887000</v>
      </c>
      <c r="C34" s="19">
        <f t="shared" si="5"/>
        <v>1.6975309415471689</v>
      </c>
      <c r="D34" s="17">
        <v>40410000</v>
      </c>
      <c r="E34" s="18">
        <f t="shared" si="6"/>
        <v>1366000</v>
      </c>
      <c r="F34" s="18">
        <f t="shared" si="7"/>
        <v>1837240.8866995075</v>
      </c>
      <c r="H34"/>
      <c r="I34"/>
      <c r="J34"/>
    </row>
    <row r="35" spans="1:10">
      <c r="A35" s="2">
        <f t="shared" ref="A35:A39" si="8">A34+1</f>
        <v>2005</v>
      </c>
      <c r="B35" s="17">
        <v>1826000</v>
      </c>
      <c r="C35" s="19">
        <f t="shared" si="5"/>
        <v>1.6975309415471689</v>
      </c>
      <c r="D35" s="17">
        <v>40429000</v>
      </c>
      <c r="E35" s="18">
        <f t="shared" si="6"/>
        <v>1347000</v>
      </c>
      <c r="F35" s="18">
        <f t="shared" si="7"/>
        <v>1752691.4992651306</v>
      </c>
      <c r="H35"/>
      <c r="I35"/>
      <c r="J35"/>
    </row>
    <row r="36" spans="1:10">
      <c r="A36" s="2">
        <f t="shared" si="8"/>
        <v>2006</v>
      </c>
      <c r="B36" s="17">
        <v>1603000</v>
      </c>
      <c r="C36" s="19">
        <f t="shared" si="5"/>
        <v>1.6975309415471689</v>
      </c>
      <c r="D36" s="17">
        <v>40986000</v>
      </c>
      <c r="E36" s="18">
        <f t="shared" si="6"/>
        <v>790000</v>
      </c>
      <c r="F36" s="18">
        <f t="shared" si="7"/>
        <v>1931142.0993001116</v>
      </c>
      <c r="H36"/>
      <c r="I36"/>
      <c r="J36"/>
    </row>
    <row r="37" spans="1:10">
      <c r="A37" s="2">
        <f t="shared" si="8"/>
        <v>2007</v>
      </c>
      <c r="B37" s="17">
        <v>1344000</v>
      </c>
      <c r="C37" s="19">
        <f t="shared" si="5"/>
        <v>1.6975309415471689</v>
      </c>
      <c r="D37" s="17">
        <v>41374000</v>
      </c>
      <c r="E37" s="18">
        <f t="shared" si="6"/>
        <v>402000</v>
      </c>
      <c r="F37" s="18">
        <f t="shared" si="7"/>
        <v>1879481.5854393952</v>
      </c>
      <c r="H37"/>
      <c r="I37"/>
      <c r="J37"/>
    </row>
    <row r="38" spans="1:10">
      <c r="A38" s="2">
        <f t="shared" si="8"/>
        <v>2008</v>
      </c>
      <c r="B38" s="17">
        <v>1315000</v>
      </c>
      <c r="C38" s="19">
        <f t="shared" si="5"/>
        <v>1.6975309415471689</v>
      </c>
      <c r="D38" s="17">
        <v>41417000</v>
      </c>
      <c r="E38" s="18">
        <f t="shared" si="6"/>
        <v>359000</v>
      </c>
      <c r="F38" s="18">
        <f t="shared" si="7"/>
        <v>1873253.1881345273</v>
      </c>
      <c r="H38"/>
      <c r="I38"/>
      <c r="J38"/>
    </row>
    <row r="39" spans="1:10">
      <c r="A39" s="2">
        <f t="shared" si="8"/>
        <v>2009</v>
      </c>
      <c r="B39" s="17">
        <v>1145000</v>
      </c>
      <c r="C39" s="19">
        <f t="shared" si="5"/>
        <v>1.6975309415471689</v>
      </c>
      <c r="D39" s="17">
        <v>41776000</v>
      </c>
      <c r="E39" s="18">
        <f t="shared" si="6"/>
        <v>0</v>
      </c>
      <c r="F39" s="18">
        <f t="shared" si="7"/>
        <v>1943672.9280715084</v>
      </c>
      <c r="H39"/>
      <c r="I39"/>
      <c r="J39"/>
    </row>
    <row r="40" spans="1:10">
      <c r="H40"/>
      <c r="I40"/>
      <c r="J40"/>
    </row>
    <row r="41" spans="1:10">
      <c r="A41" s="2" t="s">
        <v>21</v>
      </c>
      <c r="E41" s="2" t="s">
        <v>23</v>
      </c>
      <c r="F41" s="114">
        <f>ROUND(MEDIAN(F30:F39),-3)</f>
        <v>1937000</v>
      </c>
      <c r="H41"/>
      <c r="I41"/>
      <c r="J41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Start Here --&gt;</vt:lpstr>
      <vt:lpstr>1) Data</vt:lpstr>
      <vt:lpstr>1) Incremental Method</vt:lpstr>
      <vt:lpstr>1) Solution</vt:lpstr>
      <vt:lpstr>2) Data</vt:lpstr>
      <vt:lpstr>2) Run-off Method</vt:lpstr>
      <vt:lpstr>2) Solution</vt:lpstr>
      <vt:lpstr>2) DB Reinsr Loss Dev Benchmks.</vt:lpstr>
      <vt:lpstr>3) Data</vt:lpstr>
      <vt:lpstr>3) Recursive Method</vt:lpstr>
      <vt:lpstr>3) Solution</vt:lpstr>
      <vt:lpstr>.END.</vt:lpstr>
      <vt:lpstr>Discounts</vt:lpstr>
      <vt:lpstr>'1) Data'!EvalDate</vt:lpstr>
      <vt:lpstr>'1) Incremental Method'!EvalDate</vt:lpstr>
      <vt:lpstr>EvalDate</vt:lpstr>
      <vt:lpstr>'1) Data'!Mode</vt:lpstr>
      <vt:lpstr>'1) Incremental Method'!Mode</vt:lpstr>
      <vt:lpstr>Mode</vt:lpstr>
      <vt:lpstr>'2) DB Reinsr Loss Dev Benchmks.'!Print_Area</vt:lpstr>
      <vt:lpstr>'2) DB Reinsr Loss Dev Benchmks.'!Print_Titles</vt:lpstr>
      <vt:lpstr>'1) Data'!StartAge</vt:lpstr>
      <vt:lpstr>'1) Incremental Method'!StartAge</vt:lpstr>
      <vt:lpstr>StartAge</vt:lpstr>
      <vt:lpstr>'1) Data'!StartingAge</vt:lpstr>
      <vt:lpstr>'1) Incremental Method'!StartingAge</vt:lpstr>
      <vt:lpstr>StartingAge</vt:lpstr>
      <vt:lpstr>'2) Data'!Step1Pivot</vt:lpstr>
      <vt:lpstr>'2) Run-off Method'!Step1Pivot</vt:lpstr>
      <vt:lpstr>Step1Pivot</vt:lpstr>
      <vt:lpstr>'2) Data'!Step2Pivot</vt:lpstr>
      <vt:lpstr>'2) Run-off Method'!Step2Pivot</vt:lpstr>
      <vt:lpstr>Step2Pivot</vt:lpstr>
      <vt:lpstr>'2) Data'!Step3Pivot</vt:lpstr>
      <vt:lpstr>'2) Run-off Method'!Step3Pivot</vt:lpstr>
      <vt:lpstr>Step3Pivot</vt:lpstr>
      <vt:lpstr>'2) Data'!Tail</vt:lpstr>
      <vt:lpstr>'2) Run-off Method'!Tail</vt:lpstr>
      <vt:lpstr>Tail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Cheng-Wen Tsai</dc:creator>
  <cp:lastModifiedBy>Justin Brenden</cp:lastModifiedBy>
  <dcterms:created xsi:type="dcterms:W3CDTF">2012-08-10T13:55:40Z</dcterms:created>
  <dcterms:modified xsi:type="dcterms:W3CDTF">2012-09-10T17:12:14Z</dcterms:modified>
</cp:coreProperties>
</file>