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1880" windowHeight="5895" activeTab="0"/>
  </bookViews>
  <sheets>
    <sheet name="input" sheetId="1" r:id="rId1"/>
    <sheet name="Slide 3" sheetId="2" r:id="rId2"/>
    <sheet name="Slide 7" sheetId="3" r:id="rId3"/>
    <sheet name="Slide 8" sheetId="4" r:id="rId4"/>
    <sheet name="Slide 10" sheetId="5" r:id="rId5"/>
    <sheet name="Slide 11" sheetId="6" r:id="rId6"/>
    <sheet name="Slide 12" sheetId="7" r:id="rId7"/>
    <sheet name="Slide 13" sheetId="8" r:id="rId8"/>
    <sheet name="Slide 19" sheetId="9" r:id="rId9"/>
    <sheet name="Slide 20" sheetId="10" r:id="rId10"/>
    <sheet name="Slide 22" sheetId="11" r:id="rId11"/>
    <sheet name="Short Tail Case" sheetId="12" r:id="rId12"/>
    <sheet name="Long Tail Case" sheetId="13" r:id="rId13"/>
    <sheet name="Case 3" sheetId="14" r:id="rId14"/>
  </sheets>
  <definedNames>
    <definedName name="curreval">'input'!$C$7</definedName>
    <definedName name="curryr">'input'!$C$6</definedName>
    <definedName name="EXH">#REF!</definedName>
    <definedName name="EXH1">#REF!</definedName>
    <definedName name="EXH10">#REF!</definedName>
    <definedName name="EXH11">#REF!</definedName>
    <definedName name="EXH12">#REF!</definedName>
    <definedName name="EXH14">#REF!</definedName>
    <definedName name="EXH15">#REF!</definedName>
    <definedName name="EXH16">#REF!</definedName>
    <definedName name="EXH17">#REF!</definedName>
    <definedName name="EXH18">#REF!</definedName>
    <definedName name="EXH19">#REF!</definedName>
    <definedName name="EXH2">#REF!</definedName>
    <definedName name="EXH20">#REF!</definedName>
    <definedName name="EXH21">#REF!</definedName>
    <definedName name="EXH22">#REF!</definedName>
    <definedName name="EXH23">#REF!</definedName>
    <definedName name="EXH24">#REF!</definedName>
    <definedName name="EXH25">#REF!</definedName>
    <definedName name="EXH26">#REF!</definedName>
    <definedName name="EXH27">#REF!</definedName>
    <definedName name="EXH28">#REF!</definedName>
    <definedName name="EXH29">#REF!</definedName>
    <definedName name="EXH3">#REF!</definedName>
    <definedName name="EXH30">#REF!</definedName>
    <definedName name="EXH31">#REF!</definedName>
    <definedName name="EXH4">#REF!</definedName>
    <definedName name="EXH5">#REF!</definedName>
    <definedName name="EXH6">#REF!</definedName>
    <definedName name="EXH7">#REF!</definedName>
    <definedName name="EXH8">#REF!</definedName>
    <definedName name="EXH9">#REF!</definedName>
    <definedName name="EXHA">#REF!</definedName>
    <definedName name="line">'input'!$C$9</definedName>
    <definedName name="_xlnm.Print_Area" localSheetId="13">'Case 3'!$BE$2:$BM$17</definedName>
    <definedName name="_xlnm.Print_Area" localSheetId="12">'Long Tail Case'!$BE$2:$BM$17</definedName>
    <definedName name="_xlnm.Print_Area" localSheetId="11">'Short Tail Case'!$BE$2:$BM$17</definedName>
    <definedName name="PRINT_AREA_MI">#REF!</definedName>
    <definedName name="title1">'input'!$C$8</definedName>
    <definedName name="trend">'input'!$C$10</definedName>
  </definedNames>
  <calcPr fullCalcOnLoad="1"/>
</workbook>
</file>

<file path=xl/sharedStrings.xml><?xml version="1.0" encoding="utf-8"?>
<sst xmlns="http://schemas.openxmlformats.org/spreadsheetml/2006/main" count="678" uniqueCount="232">
  <si>
    <t>Premiums Earned</t>
  </si>
  <si>
    <t>Loss and Loss Expense Payments</t>
  </si>
  <si>
    <t>Years in</t>
  </si>
  <si>
    <t>Which</t>
  </si>
  <si>
    <t>Loss Payments</t>
  </si>
  <si>
    <t>Number of</t>
  </si>
  <si>
    <t>Premiums Were</t>
  </si>
  <si>
    <t>Salvage</t>
  </si>
  <si>
    <t>Total</t>
  </si>
  <si>
    <t>Claims</t>
  </si>
  <si>
    <t>Earned and</t>
  </si>
  <si>
    <t>Direct</t>
  </si>
  <si>
    <t>and</t>
  </si>
  <si>
    <t>Loss</t>
  </si>
  <si>
    <t>Net Paid</t>
  </si>
  <si>
    <t>Reported -</t>
  </si>
  <si>
    <t>Example  of  "50/50"  Rule</t>
  </si>
  <si>
    <t>EZ  INSURANCE  COMPANY  AUTO  LIABILITY</t>
  </si>
  <si>
    <t>Losses Were</t>
  </si>
  <si>
    <t>Net</t>
  </si>
  <si>
    <t>Subrogation</t>
  </si>
  <si>
    <t>Expense</t>
  </si>
  <si>
    <t>Direct and</t>
  </si>
  <si>
    <t>Incurred</t>
  </si>
  <si>
    <t>Assumed</t>
  </si>
  <si>
    <t>Ceded</t>
  </si>
  <si>
    <t>(2 - 3)</t>
  </si>
  <si>
    <t>Received</t>
  </si>
  <si>
    <t>Payments</t>
  </si>
  <si>
    <t>1.  Prior</t>
  </si>
  <si>
    <t>XXXX</t>
  </si>
  <si>
    <t>Developed</t>
  </si>
  <si>
    <t>Paid</t>
  </si>
  <si>
    <t>Indicated</t>
  </si>
  <si>
    <t>Accident</t>
  </si>
  <si>
    <t>Ratio</t>
  </si>
  <si>
    <t>Devel.</t>
  </si>
  <si>
    <t>Paid/Paid</t>
  </si>
  <si>
    <t>Ultimate</t>
  </si>
  <si>
    <t>Year</t>
  </si>
  <si>
    <t>to Date</t>
  </si>
  <si>
    <t>Factor</t>
  </si>
  <si>
    <t>Losses</t>
  </si>
  <si>
    <t>Reserves</t>
  </si>
  <si>
    <t>(1)</t>
  </si>
  <si>
    <t>(2)</t>
  </si>
  <si>
    <t>(3)</t>
  </si>
  <si>
    <t>(4)</t>
  </si>
  <si>
    <t>(5)</t>
  </si>
  <si>
    <t>(6)</t>
  </si>
  <si>
    <t>(7)</t>
  </si>
  <si>
    <t>(8)</t>
  </si>
  <si>
    <t>1.068</t>
  </si>
  <si>
    <t>1.141</t>
  </si>
  <si>
    <t>1.251</t>
  </si>
  <si>
    <t>1.462</t>
  </si>
  <si>
    <t>12.  Totals</t>
  </si>
  <si>
    <t>1.887</t>
  </si>
  <si>
    <t>2.629</t>
  </si>
  <si>
    <t>Losses Unpaid</t>
  </si>
  <si>
    <t>3.252</t>
  </si>
  <si>
    <t>Case Basis</t>
  </si>
  <si>
    <t>Bulk + IBNR</t>
  </si>
  <si>
    <t xml:space="preserve">    Total</t>
  </si>
  <si>
    <t>Net Losses</t>
  </si>
  <si>
    <t>Outstanding</t>
  </si>
  <si>
    <t>and Expenses</t>
  </si>
  <si>
    <t>Anticipated</t>
  </si>
  <si>
    <t>Unpaid</t>
  </si>
  <si>
    <t>ELR</t>
  </si>
  <si>
    <t>Total Losses and Loss</t>
  </si>
  <si>
    <t>Loss and Loss Expense %</t>
  </si>
  <si>
    <t>Net Balance Sheet Re-</t>
  </si>
  <si>
    <t>Expenses Incurred</t>
  </si>
  <si>
    <t>(Incurred/Premiums Earned)</t>
  </si>
  <si>
    <t>Nontabular Discount</t>
  </si>
  <si>
    <t>Inter-</t>
  </si>
  <si>
    <t>serves After Discount</t>
  </si>
  <si>
    <t>Company</t>
  </si>
  <si>
    <t>Pooling</t>
  </si>
  <si>
    <t>Participation</t>
  </si>
  <si>
    <t>Expsnes</t>
  </si>
  <si>
    <t>Percentage</t>
  </si>
  <si>
    <t>Selected</t>
  </si>
  <si>
    <t>Estimated</t>
  </si>
  <si>
    <t>1.108</t>
  </si>
  <si>
    <t>Expected</t>
  </si>
  <si>
    <t>IBNR</t>
  </si>
  <si>
    <t>Earned</t>
  </si>
  <si>
    <t>Premium</t>
  </si>
  <si>
    <t>EZ  Insurance  Co. -  Auto  Liability</t>
  </si>
  <si>
    <t>Calendar</t>
  </si>
  <si>
    <t xml:space="preserve">    (3)</t>
  </si>
  <si>
    <t xml:space="preserve">   (4)</t>
  </si>
  <si>
    <t>-</t>
  </si>
  <si>
    <t>12</t>
  </si>
  <si>
    <t>24</t>
  </si>
  <si>
    <t>36</t>
  </si>
  <si>
    <t>48</t>
  </si>
  <si>
    <t>60</t>
  </si>
  <si>
    <t>72</t>
  </si>
  <si>
    <t>84</t>
  </si>
  <si>
    <t>12-24</t>
  </si>
  <si>
    <t>24-36</t>
  </si>
  <si>
    <t>36-48</t>
  </si>
  <si>
    <t>48-60</t>
  </si>
  <si>
    <t>60-72</t>
  </si>
  <si>
    <t>72-84</t>
  </si>
  <si>
    <t>84-Ult</t>
  </si>
  <si>
    <t>Average</t>
  </si>
  <si>
    <t>4 point avg.</t>
  </si>
  <si>
    <t>SELECTED LDFs</t>
  </si>
  <si>
    <t>CUMULATIVE LDFs</t>
  </si>
  <si>
    <t>Avg. excl.  high/low</t>
  </si>
  <si>
    <t>4 point average</t>
  </si>
  <si>
    <t>Vol. wght. average</t>
  </si>
  <si>
    <t>Avg. excl. high/low</t>
  </si>
  <si>
    <t>50%  of  Ratio</t>
  </si>
  <si>
    <t>Known  Case  Loss  Reserves</t>
  </si>
  <si>
    <t>IBNR  Reserve</t>
  </si>
  <si>
    <t>Defense and Cost</t>
  </si>
  <si>
    <t>Containment Payments</t>
  </si>
  <si>
    <t>Adjusting and Other</t>
  </si>
  <si>
    <t>(4 - 5 + 6 - 7</t>
  </si>
  <si>
    <t>+ 8 - 9)</t>
  </si>
  <si>
    <t>Defense and Cost Containment Unpaid</t>
  </si>
  <si>
    <t>Salvage and</t>
  </si>
  <si>
    <t>(2) x (3)</t>
  </si>
  <si>
    <t>(4) x (5)</t>
  </si>
  <si>
    <t>(4) - (2)</t>
  </si>
  <si>
    <t>slide 11</t>
  </si>
  <si>
    <t>(6) - (7)</t>
  </si>
  <si>
    <t>DCC  Reserves  Based  on  Paid  DCC  Development</t>
  </si>
  <si>
    <t>DCC Paid</t>
  </si>
  <si>
    <t>DCC</t>
  </si>
  <si>
    <t>Cumulative  Paid  DCC  to  Cumulative  Paid  Losses</t>
  </si>
  <si>
    <t>CUMULATIVE PAID DCC ---------------</t>
  </si>
  <si>
    <t>Cumulative Paid DCC to Cumulative Paid Losses</t>
  </si>
  <si>
    <t>DCC Reserves Based on Cumulative Paid DCC to Cumulative Paid Loss Development</t>
  </si>
  <si>
    <t xml:space="preserve"> AO</t>
  </si>
  <si>
    <t>AO Reserve</t>
  </si>
  <si>
    <t>Ratio  of  Paid  AO  to  Paid  Losses</t>
  </si>
  <si>
    <t>=  (0.039 x 22,989) + (0.078 x 5,296)</t>
  </si>
  <si>
    <t>=   897 + 413</t>
  </si>
  <si>
    <t>=   1,310</t>
  </si>
  <si>
    <t>DEVELOPMENT STAGE IN MONTHS ------------</t>
  </si>
  <si>
    <t>PAID DCC DEVELOPMENT FACTORS ------------</t>
  </si>
  <si>
    <t>CUMULATIVE PAID LOSSES --------</t>
  </si>
  <si>
    <t>---------------- CUMULATIVE PAID DCC TO CUMULATIVE PAID LOSSES ---------------</t>
  </si>
  <si>
    <t>PAID  TO  PAID  DEVELOPMENT  FACTORS --------------</t>
  </si>
  <si>
    <t xml:space="preserve">   Total</t>
  </si>
  <si>
    <t>Range Name</t>
  </si>
  <si>
    <t>Value</t>
  </si>
  <si>
    <t>Description</t>
  </si>
  <si>
    <t>curryr</t>
  </si>
  <si>
    <t>Latest year to be shown in Triangles, etc.</t>
  </si>
  <si>
    <t>curreval</t>
  </si>
  <si>
    <t>Evaluation Date</t>
  </si>
  <si>
    <t>title1</t>
  </si>
  <si>
    <t>TID</t>
  </si>
  <si>
    <t>Company Name</t>
  </si>
  <si>
    <t>line</t>
  </si>
  <si>
    <t>Homeowners</t>
  </si>
  <si>
    <t>Line of Business</t>
  </si>
  <si>
    <t>trend</t>
  </si>
  <si>
    <t>Trend assumption used in Appendix exhibits</t>
  </si>
  <si>
    <t>Incurred LDF Method</t>
  </si>
  <si>
    <t>Paid LDF Method</t>
  </si>
  <si>
    <t>Incurred BF Method</t>
  </si>
  <si>
    <t>Paid BF Method</t>
  </si>
  <si>
    <t>Indicated Ultimates</t>
  </si>
  <si>
    <t>Loss (000)</t>
  </si>
  <si>
    <t>Age to Ult</t>
  </si>
  <si>
    <t>LDF</t>
  </si>
  <si>
    <t>BF</t>
  </si>
  <si>
    <t>Reserve</t>
  </si>
  <si>
    <t>Loss Ratio</t>
  </si>
  <si>
    <t>Line A:</t>
  </si>
  <si>
    <t>Incurred Losses ($000) at Accident Period Maturity in Months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</si>
  <si>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</si>
  <si>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</si>
  <si>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</si>
  <si>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</si>
  <si>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</si>
  <si>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</si>
  <si>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</si>
  <si>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</si>
  <si>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</si>
  <si>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</si>
  <si>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Line B:</t>
  </si>
  <si>
    <t>Cumulative  Paid  DCC ($ 000)</t>
  </si>
  <si>
    <t>($ 000s)</t>
  </si>
  <si>
    <t>slide 7</t>
  </si>
  <si>
    <t>166</t>
  </si>
  <si>
    <t>286</t>
  </si>
  <si>
    <t>416</t>
  </si>
  <si>
    <t>527</t>
  </si>
  <si>
    <t>611</t>
  </si>
  <si>
    <t>slide 12</t>
  </si>
  <si>
    <t>Column 5 from Basic II, slide 22</t>
  </si>
  <si>
    <t>slide 10</t>
  </si>
  <si>
    <t>EZ INSURANCE  COMPANY  AUTO  LIABILITY</t>
  </si>
  <si>
    <t>= (2) / (3)</t>
  </si>
  <si>
    <t>Comparison of Reserve Methodologies</t>
  </si>
  <si>
    <t>Expected Losses</t>
  </si>
  <si>
    <t>Rptd</t>
  </si>
  <si>
    <t>Example : Reported Incurred Losses are Twice as High as Expected</t>
  </si>
  <si>
    <t>Ferguson</t>
  </si>
  <si>
    <t>Development</t>
  </si>
  <si>
    <t>Example : Reported Incurred Losses are Half of Expected</t>
  </si>
  <si>
    <t>Incurrred</t>
  </si>
  <si>
    <t>Line C:</t>
  </si>
  <si>
    <t>Bornhuetter-</t>
  </si>
  <si>
    <t>EZ INSURANCE  COMPANY  AUTO  LIABILITY ($000s)</t>
  </si>
  <si>
    <t>slide 26</t>
  </si>
  <si>
    <t>Incurred = slide 25</t>
  </si>
  <si>
    <t>Paid = slide 24</t>
  </si>
  <si>
    <t>slide 27</t>
  </si>
  <si>
    <t>slide 28</t>
  </si>
  <si>
    <t>slide 29</t>
  </si>
  <si>
    <t>Paid = 31</t>
  </si>
  <si>
    <t>Incurred = slide 32</t>
  </si>
  <si>
    <t>slide 33</t>
  </si>
  <si>
    <t>slide 34</t>
  </si>
  <si>
    <t>slide 35</t>
  </si>
  <si>
    <t>slide 36</t>
  </si>
  <si>
    <t>Incurred = slide 39</t>
  </si>
  <si>
    <t>Paid = slide 38</t>
  </si>
  <si>
    <t>slide 40</t>
  </si>
  <si>
    <t>slide 41</t>
  </si>
  <si>
    <t>slide 42</t>
  </si>
  <si>
    <t>slide 43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</si>
</sst>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3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5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name val="Arial"/>
      <family val="0"/>
    </font>
    <font>
      <sz val="12"/>
      <color indexed="13"/>
      <name val="Arial"/>
      <family val="2"/>
    </font>
    <font>
      <sz val="10"/>
      <color indexed="13"/>
      <name val="Arial"/>
      <family val="2"/>
    </font>
    <font>
      <u val="single"/>
      <sz val="12"/>
      <color indexed="13"/>
      <name val="Arial"/>
      <family val="2"/>
    </font>
    <font>
      <b/>
      <sz val="14"/>
      <color indexed="13"/>
      <name val="Arial"/>
      <family val="2"/>
    </font>
    <font>
      <b/>
      <u val="single"/>
      <sz val="12"/>
      <color indexed="13"/>
      <name val="Arial"/>
      <family val="2"/>
    </font>
    <font>
      <b/>
      <sz val="12"/>
      <color indexed="13"/>
      <name val="Arial"/>
      <family val="2"/>
    </font>
    <font>
      <sz val="9"/>
      <color indexed="13"/>
      <name val="Arial"/>
      <family val="2"/>
    </font>
    <font>
      <b/>
      <u val="single"/>
      <sz val="12"/>
      <color indexed="13"/>
      <name val="Helv"/>
      <family val="0"/>
    </font>
    <font>
      <sz val="12"/>
      <color indexed="13"/>
      <name val="Helv"/>
      <family val="0"/>
    </font>
    <font>
      <u val="single"/>
      <sz val="12"/>
      <color indexed="13"/>
      <name val="Helv"/>
      <family val="0"/>
    </font>
    <font>
      <u val="single"/>
      <sz val="16"/>
      <color indexed="13"/>
      <name val="Arial"/>
      <family val="2"/>
    </font>
    <font>
      <sz val="14"/>
      <color indexed="13"/>
      <name val="Arial"/>
      <family val="2"/>
    </font>
    <font>
      <u val="single"/>
      <sz val="14"/>
      <color indexed="13"/>
      <name val="Arial"/>
      <family val="2"/>
    </font>
    <font>
      <sz val="16"/>
      <color indexed="13"/>
      <name val="Arial"/>
      <family val="2"/>
    </font>
    <font>
      <b/>
      <sz val="16"/>
      <color indexed="13"/>
      <name val="Arial"/>
      <family val="2"/>
    </font>
    <font>
      <sz val="5"/>
      <color indexed="13"/>
      <name val="Times New Roman"/>
      <family val="1"/>
    </font>
    <font>
      <sz val="9.75"/>
      <name val="Arial"/>
      <family val="2"/>
    </font>
    <font>
      <sz val="9.75"/>
      <color indexed="13"/>
      <name val="Arial"/>
      <family val="2"/>
    </font>
    <font>
      <sz val="11"/>
      <color indexed="13"/>
      <name val="Arial"/>
      <family val="2"/>
    </font>
    <font>
      <b/>
      <sz val="9"/>
      <color indexed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13"/>
      </left>
      <right style="medium">
        <color indexed="13"/>
      </right>
      <top style="medium">
        <color indexed="1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10" fillId="0" borderId="0" applyProtection="0">
      <alignment/>
    </xf>
    <xf numFmtId="0" fontId="4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257">
    <xf numFmtId="164" fontId="0" fillId="0" borderId="0" xfId="0" applyAlignment="1">
      <alignment/>
    </xf>
    <xf numFmtId="0" fontId="4" fillId="0" borderId="0" xfId="25">
      <alignment/>
      <protection/>
    </xf>
    <xf numFmtId="0" fontId="4" fillId="0" borderId="0" xfId="25" applyFont="1">
      <alignment/>
      <protection/>
    </xf>
    <xf numFmtId="164" fontId="5" fillId="0" borderId="0" xfId="0" applyFont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0" fontId="8" fillId="0" borderId="0" xfId="25" applyFont="1">
      <alignment/>
      <protection/>
    </xf>
    <xf numFmtId="0" fontId="8" fillId="0" borderId="0" xfId="25" applyFont="1" applyAlignment="1">
      <alignment horizontal="center"/>
      <protection/>
    </xf>
    <xf numFmtId="0" fontId="10" fillId="0" borderId="1" xfId="24" applyBorder="1">
      <alignment/>
    </xf>
    <xf numFmtId="0" fontId="10" fillId="0" borderId="0" xfId="24">
      <alignment/>
    </xf>
    <xf numFmtId="0" fontId="9" fillId="0" borderId="0" xfId="24" applyFont="1" applyAlignment="1">
      <alignment horizontal="left"/>
    </xf>
    <xf numFmtId="14" fontId="9" fillId="0" borderId="0" xfId="24" applyNumberFormat="1" applyFont="1" applyAlignment="1">
      <alignment horizontal="left"/>
    </xf>
    <xf numFmtId="38" fontId="10" fillId="0" borderId="0" xfId="17" applyFont="1" applyAlignment="1">
      <alignment/>
    </xf>
    <xf numFmtId="0" fontId="9" fillId="0" borderId="0" xfId="24" applyFont="1">
      <alignment/>
    </xf>
    <xf numFmtId="38" fontId="10" fillId="0" borderId="0" xfId="24" applyNumberFormat="1">
      <alignment/>
    </xf>
    <xf numFmtId="165" fontId="9" fillId="0" borderId="0" xfId="27" applyFont="1" applyAlignment="1">
      <alignment horizontal="left"/>
    </xf>
    <xf numFmtId="0" fontId="10" fillId="0" borderId="0" xfId="24" applyAlignment="1">
      <alignment horizontal="left"/>
    </xf>
    <xf numFmtId="198" fontId="10" fillId="0" borderId="0" xfId="24" applyNumberFormat="1" applyAlignment="1">
      <alignment horizontal="left"/>
    </xf>
    <xf numFmtId="194" fontId="10" fillId="0" borderId="0" xfId="17" applyNumberFormat="1" applyAlignment="1">
      <alignment horizontal="center"/>
    </xf>
    <xf numFmtId="0" fontId="10" fillId="0" borderId="0" xfId="24" applyAlignment="1">
      <alignment horizontal="center"/>
    </xf>
    <xf numFmtId="0" fontId="10" fillId="0" borderId="1" xfId="24" applyBorder="1" applyAlignment="1">
      <alignment horizontal="center"/>
    </xf>
    <xf numFmtId="165" fontId="10" fillId="0" borderId="0" xfId="27" applyAlignment="1">
      <alignment/>
    </xf>
    <xf numFmtId="38" fontId="4" fillId="0" borderId="0" xfId="17" applyFont="1" applyAlignment="1">
      <alignment horizontal="center"/>
    </xf>
    <xf numFmtId="194" fontId="4" fillId="0" borderId="0" xfId="17" applyNumberFormat="1" applyFont="1" applyAlignment="1">
      <alignment horizontal="center"/>
    </xf>
    <xf numFmtId="10" fontId="4" fillId="0" borderId="0" xfId="27" applyNumberFormat="1" applyFont="1" applyAlignment="1">
      <alignment/>
    </xf>
    <xf numFmtId="0" fontId="10" fillId="0" borderId="0" xfId="24" applyFont="1">
      <alignment/>
    </xf>
    <xf numFmtId="164" fontId="13" fillId="2" borderId="0" xfId="0" applyNumberFormat="1" applyFont="1" applyFill="1" applyAlignment="1" applyProtection="1">
      <alignment horizontal="centerContinuous"/>
      <protection/>
    </xf>
    <xf numFmtId="164" fontId="13" fillId="2" borderId="0" xfId="0" applyFont="1" applyFill="1" applyAlignment="1">
      <alignment horizontal="centerContinuous"/>
    </xf>
    <xf numFmtId="0" fontId="14" fillId="2" borderId="0" xfId="25" applyFont="1" applyFill="1">
      <alignment/>
      <protection/>
    </xf>
    <xf numFmtId="164" fontId="13" fillId="2" borderId="0" xfId="0" applyNumberFormat="1" applyFont="1" applyFill="1" applyAlignment="1" applyProtection="1">
      <alignment horizontal="center"/>
      <protection/>
    </xf>
    <xf numFmtId="164" fontId="13" fillId="2" borderId="0" xfId="0" applyNumberFormat="1" applyFont="1" applyFill="1" applyAlignment="1" applyProtection="1">
      <alignment horizontal="fill"/>
      <protection/>
    </xf>
    <xf numFmtId="164" fontId="13" fillId="2" borderId="0" xfId="0" applyNumberFormat="1" applyFont="1" applyFill="1" applyAlignment="1" applyProtection="1">
      <alignment horizontal="left"/>
      <protection/>
    </xf>
    <xf numFmtId="164" fontId="13" fillId="2" borderId="0" xfId="0" applyFont="1" applyFill="1" applyAlignment="1">
      <alignment/>
    </xf>
    <xf numFmtId="164" fontId="15" fillId="2" borderId="0" xfId="0" applyNumberFormat="1" applyFont="1" applyFill="1" applyAlignment="1" applyProtection="1">
      <alignment horizontal="center"/>
      <protection/>
    </xf>
    <xf numFmtId="1" fontId="13" fillId="2" borderId="0" xfId="0" applyNumberFormat="1" applyFont="1" applyFill="1" applyAlignment="1" applyProtection="1">
      <alignment horizontal="center"/>
      <protection/>
    </xf>
    <xf numFmtId="1" fontId="13" fillId="2" borderId="0" xfId="0" applyNumberFormat="1" applyFont="1" applyFill="1" applyAlignment="1">
      <alignment/>
    </xf>
    <xf numFmtId="164" fontId="13" fillId="2" borderId="0" xfId="0" applyFont="1" applyFill="1" applyAlignment="1">
      <alignment horizontal="left"/>
    </xf>
    <xf numFmtId="180" fontId="13" fillId="2" borderId="0" xfId="0" applyNumberFormat="1" applyFont="1" applyFill="1" applyAlignment="1" applyProtection="1">
      <alignment horizontal="center"/>
      <protection/>
    </xf>
    <xf numFmtId="180" fontId="13" fillId="2" borderId="0" xfId="0" applyNumberFormat="1" applyFont="1" applyFill="1" applyAlignment="1">
      <alignment/>
    </xf>
    <xf numFmtId="0" fontId="16" fillId="2" borderId="0" xfId="25" applyFont="1" applyFill="1">
      <alignment/>
      <protection/>
    </xf>
    <xf numFmtId="164" fontId="18" fillId="2" borderId="0" xfId="23" applyFont="1" applyFill="1" applyBorder="1">
      <alignment/>
      <protection/>
    </xf>
    <xf numFmtId="164" fontId="13" fillId="2" borderId="0" xfId="23" applyFont="1" applyFill="1" applyBorder="1">
      <alignment/>
      <protection/>
    </xf>
    <xf numFmtId="5" fontId="18" fillId="2" borderId="0" xfId="23" applyNumberFormat="1" applyFont="1" applyFill="1" applyBorder="1" applyProtection="1">
      <alignment/>
      <protection/>
    </xf>
    <xf numFmtId="164" fontId="18" fillId="2" borderId="0" xfId="23" applyNumberFormat="1" applyFont="1" applyFill="1" applyBorder="1" applyAlignment="1" applyProtection="1">
      <alignment horizontal="center"/>
      <protection/>
    </xf>
    <xf numFmtId="164" fontId="13" fillId="2" borderId="2" xfId="23" applyFont="1" applyFill="1" applyBorder="1">
      <alignment/>
      <protection/>
    </xf>
    <xf numFmtId="164" fontId="13" fillId="2" borderId="3" xfId="23" applyFont="1" applyFill="1" applyBorder="1">
      <alignment/>
      <protection/>
    </xf>
    <xf numFmtId="164" fontId="13" fillId="2" borderId="4" xfId="23" applyFont="1" applyFill="1" applyBorder="1">
      <alignment/>
      <protection/>
    </xf>
    <xf numFmtId="164" fontId="17" fillId="2" borderId="0" xfId="23" applyNumberFormat="1" applyFont="1" applyFill="1" applyBorder="1" applyAlignment="1" applyProtection="1">
      <alignment horizontal="left"/>
      <protection/>
    </xf>
    <xf numFmtId="0" fontId="14" fillId="2" borderId="0" xfId="20" applyFont="1" applyFill="1" applyBorder="1">
      <alignment/>
      <protection/>
    </xf>
    <xf numFmtId="164" fontId="13" fillId="2" borderId="0" xfId="23" applyNumberFormat="1" applyFont="1" applyFill="1" applyBorder="1" applyAlignment="1" applyProtection="1">
      <alignment horizontal="left"/>
      <protection/>
    </xf>
    <xf numFmtId="164" fontId="13" fillId="2" borderId="5" xfId="23" applyFont="1" applyFill="1" applyBorder="1">
      <alignment/>
      <protection/>
    </xf>
    <xf numFmtId="164" fontId="13" fillId="2" borderId="6" xfId="23" applyFont="1" applyFill="1" applyBorder="1">
      <alignment/>
      <protection/>
    </xf>
    <xf numFmtId="164" fontId="13" fillId="2" borderId="7" xfId="23" applyFont="1" applyFill="1" applyBorder="1">
      <alignment/>
      <protection/>
    </xf>
    <xf numFmtId="164" fontId="13" fillId="2" borderId="8" xfId="23" applyFont="1" applyFill="1" applyBorder="1">
      <alignment/>
      <protection/>
    </xf>
    <xf numFmtId="0" fontId="14" fillId="2" borderId="8" xfId="25" applyFont="1" applyFill="1" applyBorder="1">
      <alignment/>
      <protection/>
    </xf>
    <xf numFmtId="164" fontId="13" fillId="2" borderId="9" xfId="23" applyFont="1" applyFill="1" applyBorder="1">
      <alignment/>
      <protection/>
    </xf>
    <xf numFmtId="164" fontId="18" fillId="3" borderId="2" xfId="23" applyFont="1" applyFill="1" applyBorder="1">
      <alignment/>
      <protection/>
    </xf>
    <xf numFmtId="164" fontId="18" fillId="3" borderId="7" xfId="23" applyFont="1" applyFill="1" applyBorder="1">
      <alignment/>
      <protection/>
    </xf>
    <xf numFmtId="5" fontId="18" fillId="3" borderId="4" xfId="23" applyNumberFormat="1" applyFont="1" applyFill="1" applyBorder="1" applyProtection="1">
      <alignment/>
      <protection/>
    </xf>
    <xf numFmtId="164" fontId="18" fillId="3" borderId="8" xfId="23" applyFont="1" applyFill="1" applyBorder="1">
      <alignment/>
      <protection/>
    </xf>
    <xf numFmtId="164" fontId="18" fillId="3" borderId="5" xfId="23" applyNumberFormat="1" applyFont="1" applyFill="1" applyBorder="1" applyAlignment="1" applyProtection="1">
      <alignment horizontal="center"/>
      <protection/>
    </xf>
    <xf numFmtId="164" fontId="18" fillId="3" borderId="9" xfId="23" applyFont="1" applyFill="1" applyBorder="1">
      <alignment/>
      <protection/>
    </xf>
    <xf numFmtId="164" fontId="18" fillId="2" borderId="2" xfId="23" applyFont="1" applyFill="1" applyBorder="1">
      <alignment/>
      <protection/>
    </xf>
    <xf numFmtId="164" fontId="18" fillId="2" borderId="4" xfId="23" applyFont="1" applyFill="1" applyBorder="1">
      <alignment/>
      <protection/>
    </xf>
    <xf numFmtId="164" fontId="18" fillId="2" borderId="8" xfId="23" applyFont="1" applyFill="1" applyBorder="1">
      <alignment/>
      <protection/>
    </xf>
    <xf numFmtId="164" fontId="18" fillId="2" borderId="5" xfId="23" applyFont="1" applyFill="1" applyBorder="1">
      <alignment/>
      <protection/>
    </xf>
    <xf numFmtId="164" fontId="18" fillId="2" borderId="6" xfId="23" applyNumberFormat="1" applyFont="1" applyFill="1" applyBorder="1" applyAlignment="1" applyProtection="1">
      <alignment horizontal="center"/>
      <protection/>
    </xf>
    <xf numFmtId="164" fontId="18" fillId="3" borderId="3" xfId="23" applyFont="1" applyFill="1" applyBorder="1">
      <alignment/>
      <protection/>
    </xf>
    <xf numFmtId="164" fontId="13" fillId="3" borderId="7" xfId="23" applyFont="1" applyFill="1" applyBorder="1">
      <alignment/>
      <protection/>
    </xf>
    <xf numFmtId="5" fontId="18" fillId="3" borderId="0" xfId="23" applyNumberFormat="1" applyFont="1" applyFill="1" applyBorder="1" applyProtection="1">
      <alignment/>
      <protection/>
    </xf>
    <xf numFmtId="5" fontId="13" fillId="3" borderId="8" xfId="23" applyNumberFormat="1" applyFont="1" applyFill="1" applyBorder="1" applyProtection="1">
      <alignment/>
      <protection/>
    </xf>
    <xf numFmtId="164" fontId="18" fillId="3" borderId="5" xfId="23" applyFont="1" applyFill="1" applyBorder="1">
      <alignment/>
      <protection/>
    </xf>
    <xf numFmtId="164" fontId="18" fillId="3" borderId="6" xfId="23" applyNumberFormat="1" applyFont="1" applyFill="1" applyBorder="1" applyAlignment="1" applyProtection="1">
      <alignment horizontal="center"/>
      <protection/>
    </xf>
    <xf numFmtId="164" fontId="13" fillId="3" borderId="9" xfId="23" applyFont="1" applyFill="1" applyBorder="1">
      <alignment/>
      <protection/>
    </xf>
    <xf numFmtId="164" fontId="13" fillId="2" borderId="10" xfId="23" applyFont="1" applyFill="1" applyBorder="1">
      <alignment/>
      <protection/>
    </xf>
    <xf numFmtId="5" fontId="18" fillId="2" borderId="11" xfId="23" applyNumberFormat="1" applyFont="1" applyFill="1" applyBorder="1" applyProtection="1">
      <alignment/>
      <protection/>
    </xf>
    <xf numFmtId="164" fontId="18" fillId="2" borderId="12" xfId="23" applyNumberFormat="1" applyFont="1" applyFill="1" applyBorder="1" applyAlignment="1" applyProtection="1">
      <alignment horizontal="center"/>
      <protection/>
    </xf>
    <xf numFmtId="5" fontId="13" fillId="2" borderId="4" xfId="23" applyNumberFormat="1" applyFont="1" applyFill="1" applyBorder="1" applyProtection="1">
      <alignment/>
      <protection/>
    </xf>
    <xf numFmtId="164" fontId="13" fillId="3" borderId="10" xfId="23" applyFont="1" applyFill="1" applyBorder="1">
      <alignment/>
      <protection/>
    </xf>
    <xf numFmtId="5" fontId="18" fillId="3" borderId="11" xfId="23" applyNumberFormat="1" applyFont="1" applyFill="1" applyBorder="1" applyProtection="1">
      <alignment/>
      <protection/>
    </xf>
    <xf numFmtId="164" fontId="18" fillId="3" borderId="12" xfId="23" applyNumberFormat="1" applyFont="1" applyFill="1" applyBorder="1" applyAlignment="1" applyProtection="1">
      <alignment horizontal="center"/>
      <protection/>
    </xf>
    <xf numFmtId="5" fontId="18" fillId="2" borderId="8" xfId="23" applyNumberFormat="1" applyFont="1" applyFill="1" applyBorder="1" applyProtection="1">
      <alignment/>
      <protection/>
    </xf>
    <xf numFmtId="164" fontId="18" fillId="2" borderId="9" xfId="23" applyNumberFormat="1" applyFont="1" applyFill="1" applyBorder="1" applyAlignment="1" applyProtection="1">
      <alignment horizontal="center"/>
      <protection/>
    </xf>
    <xf numFmtId="164" fontId="18" fillId="2" borderId="0" xfId="23" applyNumberFormat="1" applyFont="1" applyFill="1" applyBorder="1" applyAlignment="1" applyProtection="1">
      <alignment horizontal="left"/>
      <protection/>
    </xf>
    <xf numFmtId="164" fontId="18" fillId="2" borderId="6" xfId="23" applyFont="1" applyFill="1" applyBorder="1">
      <alignment/>
      <protection/>
    </xf>
    <xf numFmtId="164" fontId="18" fillId="2" borderId="3" xfId="23" applyFont="1" applyFill="1" applyBorder="1">
      <alignment/>
      <protection/>
    </xf>
    <xf numFmtId="5" fontId="13" fillId="2" borderId="0" xfId="23" applyNumberFormat="1" applyFont="1" applyFill="1" applyBorder="1" applyProtection="1">
      <alignment/>
      <protection/>
    </xf>
    <xf numFmtId="164" fontId="15" fillId="2" borderId="0" xfId="0" applyNumberFormat="1" applyFont="1" applyFill="1" applyAlignment="1" applyProtection="1">
      <alignment horizontal="centerContinuous"/>
      <protection/>
    </xf>
    <xf numFmtId="164" fontId="15" fillId="2" borderId="0" xfId="0" applyFont="1" applyFill="1" applyAlignment="1">
      <alignment horizontal="centerContinuous"/>
    </xf>
    <xf numFmtId="164" fontId="13" fillId="2" borderId="0" xfId="0" applyNumberFormat="1" applyFont="1" applyFill="1" applyAlignment="1" applyProtection="1">
      <alignment horizontal="right"/>
      <protection/>
    </xf>
    <xf numFmtId="164" fontId="15" fillId="2" borderId="0" xfId="0" applyFont="1" applyFill="1" applyAlignment="1">
      <alignment/>
    </xf>
    <xf numFmtId="164" fontId="15" fillId="2" borderId="0" xfId="0" applyNumberFormat="1" applyFont="1" applyFill="1" applyAlignment="1" applyProtection="1">
      <alignment horizontal="right"/>
      <protection/>
    </xf>
    <xf numFmtId="164" fontId="19" fillId="2" borderId="0" xfId="0" applyFont="1" applyFill="1" applyAlignment="1">
      <alignment horizontal="right"/>
    </xf>
    <xf numFmtId="3" fontId="13" fillId="2" borderId="0" xfId="0" applyNumberFormat="1" applyFont="1" applyFill="1" applyAlignment="1" applyProtection="1">
      <alignment horizontal="right"/>
      <protection/>
    </xf>
    <xf numFmtId="180" fontId="13" fillId="2" borderId="0" xfId="0" applyNumberFormat="1" applyFont="1" applyFill="1" applyAlignment="1" applyProtection="1">
      <alignment horizontal="right"/>
      <protection/>
    </xf>
    <xf numFmtId="3" fontId="15" fillId="2" borderId="0" xfId="0" applyNumberFormat="1" applyFont="1" applyFill="1" applyAlignment="1" applyProtection="1">
      <alignment horizontal="right"/>
      <protection/>
    </xf>
    <xf numFmtId="164" fontId="13" fillId="2" borderId="0" xfId="0" applyFont="1" applyFill="1" applyAlignment="1">
      <alignment horizontal="right"/>
    </xf>
    <xf numFmtId="164" fontId="17" fillId="2" borderId="0" xfId="0" applyNumberFormat="1" applyFont="1" applyFill="1" applyAlignment="1" applyProtection="1">
      <alignment horizontal="centerContinuous"/>
      <protection/>
    </xf>
    <xf numFmtId="164" fontId="17" fillId="2" borderId="0" xfId="0" applyFont="1" applyFill="1" applyAlignment="1">
      <alignment horizontal="centerContinuous"/>
    </xf>
    <xf numFmtId="164" fontId="18" fillId="2" borderId="0" xfId="0" applyNumberFormat="1" applyFont="1" applyFill="1" applyAlignment="1" applyProtection="1">
      <alignment horizontal="centerContinuous"/>
      <protection/>
    </xf>
    <xf numFmtId="164" fontId="18" fillId="2" borderId="0" xfId="0" applyFont="1" applyFill="1" applyAlignment="1">
      <alignment horizontal="centerContinuous"/>
    </xf>
    <xf numFmtId="3" fontId="13" fillId="2" borderId="0" xfId="0" applyNumberFormat="1" applyFont="1" applyFill="1" applyAlignment="1" applyProtection="1">
      <alignment horizontal="center"/>
      <protection/>
    </xf>
    <xf numFmtId="3" fontId="13" fillId="2" borderId="0" xfId="0" applyNumberFormat="1" applyFont="1" applyFill="1" applyAlignment="1">
      <alignment/>
    </xf>
    <xf numFmtId="49" fontId="13" fillId="2" borderId="0" xfId="0" applyNumberFormat="1" applyFont="1" applyFill="1" applyAlignment="1" applyProtection="1">
      <alignment horizontal="center"/>
      <protection/>
    </xf>
    <xf numFmtId="164" fontId="13" fillId="2" borderId="0" xfId="0" applyNumberFormat="1" applyFont="1" applyFill="1" applyAlignment="1" applyProtection="1" quotePrefix="1">
      <alignment horizontal="left"/>
      <protection/>
    </xf>
    <xf numFmtId="164" fontId="20" fillId="2" borderId="0" xfId="0" applyNumberFormat="1" applyFont="1" applyFill="1" applyAlignment="1" applyProtection="1">
      <alignment horizontal="centerContinuous"/>
      <protection/>
    </xf>
    <xf numFmtId="164" fontId="20" fillId="2" borderId="0" xfId="0" applyFont="1" applyFill="1" applyAlignment="1">
      <alignment horizontal="centerContinuous"/>
    </xf>
    <xf numFmtId="164" fontId="21" fillId="2" borderId="0" xfId="0" applyFont="1" applyFill="1" applyAlignment="1">
      <alignment horizontal="centerContinuous"/>
    </xf>
    <xf numFmtId="164" fontId="21" fillId="2" borderId="0" xfId="0" applyNumberFormat="1" applyFont="1" applyFill="1" applyAlignment="1" applyProtection="1">
      <alignment horizontal="centerContinuous"/>
      <protection/>
    </xf>
    <xf numFmtId="164" fontId="21" fillId="2" borderId="0" xfId="0" applyFont="1" applyFill="1" applyAlignment="1">
      <alignment/>
    </xf>
    <xf numFmtId="164" fontId="21" fillId="2" borderId="0" xfId="0" applyNumberFormat="1" applyFont="1" applyFill="1" applyAlignment="1" applyProtection="1">
      <alignment horizontal="center"/>
      <protection/>
    </xf>
    <xf numFmtId="164" fontId="21" fillId="2" borderId="0" xfId="0" applyNumberFormat="1" applyFont="1" applyFill="1" applyAlignment="1" applyProtection="1">
      <alignment horizontal="fill"/>
      <protection/>
    </xf>
    <xf numFmtId="164" fontId="21" fillId="2" borderId="0" xfId="0" applyNumberFormat="1" applyFont="1" applyFill="1" applyAlignment="1" applyProtection="1">
      <alignment horizontal="left"/>
      <protection/>
    </xf>
    <xf numFmtId="164" fontId="22" fillId="2" borderId="0" xfId="0" applyNumberFormat="1" applyFont="1" applyFill="1" applyAlignment="1" applyProtection="1">
      <alignment horizontal="center"/>
      <protection/>
    </xf>
    <xf numFmtId="180" fontId="21" fillId="2" borderId="0" xfId="0" applyNumberFormat="1" applyFont="1" applyFill="1" applyAlignment="1" applyProtection="1">
      <alignment horizontal="center"/>
      <protection/>
    </xf>
    <xf numFmtId="164" fontId="21" fillId="2" borderId="0" xfId="0" applyNumberFormat="1" applyFont="1" applyFill="1" applyAlignment="1" applyProtection="1">
      <alignment horizontal="right"/>
      <protection/>
    </xf>
    <xf numFmtId="0" fontId="4" fillId="0" borderId="0" xfId="25" applyFont="1" applyFill="1">
      <alignment/>
      <protection/>
    </xf>
    <xf numFmtId="164" fontId="19" fillId="2" borderId="0" xfId="0" applyFont="1" applyFill="1" applyAlignment="1">
      <alignment horizontal="center"/>
    </xf>
    <xf numFmtId="164" fontId="23" fillId="2" borderId="0" xfId="0" applyNumberFormat="1" applyFont="1" applyFill="1" applyAlignment="1" applyProtection="1">
      <alignment horizontal="centerContinuous"/>
      <protection/>
    </xf>
    <xf numFmtId="164" fontId="24" fillId="2" borderId="0" xfId="0" applyNumberFormat="1" applyFont="1" applyFill="1" applyAlignment="1" applyProtection="1">
      <alignment horizontal="centerContinuous"/>
      <protection/>
    </xf>
    <xf numFmtId="164" fontId="24" fillId="2" borderId="0" xfId="0" applyFont="1" applyFill="1" applyAlignment="1">
      <alignment horizontal="centerContinuous"/>
    </xf>
    <xf numFmtId="164" fontId="24" fillId="2" borderId="0" xfId="0" applyNumberFormat="1" applyFont="1" applyFill="1" applyAlignment="1" applyProtection="1">
      <alignment horizontal="center"/>
      <protection/>
    </xf>
    <xf numFmtId="164" fontId="24" fillId="2" borderId="0" xfId="0" applyFont="1" applyFill="1" applyAlignment="1">
      <alignment/>
    </xf>
    <xf numFmtId="164" fontId="25" fillId="2" borderId="0" xfId="0" applyNumberFormat="1" applyFont="1" applyFill="1" applyAlignment="1" applyProtection="1">
      <alignment horizontal="center"/>
      <protection/>
    </xf>
    <xf numFmtId="164" fontId="14" fillId="2" borderId="0" xfId="0" applyNumberFormat="1" applyFont="1" applyFill="1" applyAlignment="1" applyProtection="1" quotePrefix="1">
      <alignment horizontal="center"/>
      <protection/>
    </xf>
    <xf numFmtId="3" fontId="24" fillId="2" borderId="0" xfId="0" applyNumberFormat="1" applyFont="1" applyFill="1" applyAlignment="1" applyProtection="1">
      <alignment horizontal="center"/>
      <protection/>
    </xf>
    <xf numFmtId="180" fontId="24" fillId="2" borderId="0" xfId="0" applyNumberFormat="1" applyFont="1" applyFill="1" applyAlignment="1" applyProtection="1">
      <alignment horizontal="center"/>
      <protection/>
    </xf>
    <xf numFmtId="180" fontId="24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3" fontId="25" fillId="2" borderId="0" xfId="0" applyNumberFormat="1" applyFont="1" applyFill="1" applyAlignment="1" applyProtection="1">
      <alignment horizontal="center"/>
      <protection/>
    </xf>
    <xf numFmtId="180" fontId="25" fillId="2" borderId="0" xfId="0" applyNumberFormat="1" applyFont="1" applyFill="1" applyAlignment="1" applyProtection="1">
      <alignment horizontal="center"/>
      <protection/>
    </xf>
    <xf numFmtId="164" fontId="24" fillId="2" borderId="0" xfId="0" applyNumberFormat="1" applyFont="1" applyFill="1" applyAlignment="1" applyProtection="1" quotePrefix="1">
      <alignment horizontal="left"/>
      <protection/>
    </xf>
    <xf numFmtId="164" fontId="26" fillId="2" borderId="0" xfId="0" applyNumberFormat="1" applyFont="1" applyFill="1" applyAlignment="1" applyProtection="1">
      <alignment horizontal="centerContinuous"/>
      <protection/>
    </xf>
    <xf numFmtId="164" fontId="26" fillId="2" borderId="0" xfId="0" applyNumberFormat="1" applyFont="1" applyFill="1" applyAlignment="1" applyProtection="1">
      <alignment horizontal="left"/>
      <protection/>
    </xf>
    <xf numFmtId="164" fontId="26" fillId="2" borderId="0" xfId="0" applyFont="1" applyFill="1" applyAlignment="1">
      <alignment/>
    </xf>
    <xf numFmtId="0" fontId="26" fillId="2" borderId="0" xfId="25" applyFont="1" applyFill="1">
      <alignment/>
      <protection/>
    </xf>
    <xf numFmtId="179" fontId="26" fillId="2" borderId="0" xfId="25" applyNumberFormat="1" applyFont="1" applyFill="1">
      <alignment/>
      <protection/>
    </xf>
    <xf numFmtId="3" fontId="26" fillId="2" borderId="0" xfId="0" applyNumberFormat="1" applyFont="1" applyFill="1" applyAlignment="1" applyProtection="1">
      <alignment horizontal="right"/>
      <protection/>
    </xf>
    <xf numFmtId="164" fontId="26" fillId="2" borderId="0" xfId="0" applyNumberFormat="1" applyFont="1" applyFill="1" applyAlignment="1" applyProtection="1" quotePrefix="1">
      <alignment horizontal="left"/>
      <protection/>
    </xf>
    <xf numFmtId="164" fontId="26" fillId="2" borderId="6" xfId="0" applyFont="1" applyFill="1" applyBorder="1" applyAlignment="1">
      <alignment horizontal="centerContinuous"/>
    </xf>
    <xf numFmtId="164" fontId="27" fillId="2" borderId="6" xfId="0" applyFont="1" applyFill="1" applyBorder="1" applyAlignment="1">
      <alignment horizontal="centerContinuous"/>
    </xf>
    <xf numFmtId="164" fontId="18" fillId="2" borderId="6" xfId="0" applyFont="1" applyFill="1" applyBorder="1" applyAlignment="1">
      <alignment horizontal="centerContinuous"/>
    </xf>
    <xf numFmtId="164" fontId="28" fillId="2" borderId="0" xfId="0" applyNumberFormat="1" applyFont="1" applyFill="1" applyAlignment="1" applyProtection="1">
      <alignment horizontal="centerContinuous"/>
      <protection/>
    </xf>
    <xf numFmtId="164" fontId="28" fillId="2" borderId="0" xfId="0" applyFont="1" applyFill="1" applyAlignment="1">
      <alignment horizontal="centerContinuous"/>
    </xf>
    <xf numFmtId="0" fontId="28" fillId="2" borderId="0" xfId="25" applyFont="1" applyFill="1" applyAlignment="1">
      <alignment horizontal="centerContinuous"/>
      <protection/>
    </xf>
    <xf numFmtId="0" fontId="28" fillId="2" borderId="0" xfId="25" applyFont="1" applyFill="1">
      <alignment/>
      <protection/>
    </xf>
    <xf numFmtId="164" fontId="28" fillId="2" borderId="0" xfId="0" applyFont="1" applyFill="1" applyAlignment="1">
      <alignment/>
    </xf>
    <xf numFmtId="164" fontId="28" fillId="2" borderId="0" xfId="0" applyNumberFormat="1" applyFont="1" applyFill="1" applyAlignment="1" applyProtection="1">
      <alignment/>
      <protection/>
    </xf>
    <xf numFmtId="164" fontId="28" fillId="2" borderId="13" xfId="0" applyFont="1" applyFill="1" applyBorder="1" applyAlignment="1">
      <alignment/>
    </xf>
    <xf numFmtId="164" fontId="28" fillId="2" borderId="0" xfId="0" applyNumberFormat="1" applyFont="1" applyFill="1" applyAlignment="1" applyProtection="1">
      <alignment horizontal="center"/>
      <protection/>
    </xf>
    <xf numFmtId="164" fontId="28" fillId="2" borderId="14" xfId="0" applyNumberFormat="1" applyFont="1" applyFill="1" applyBorder="1" applyAlignment="1" applyProtection="1">
      <alignment horizontal="center"/>
      <protection/>
    </xf>
    <xf numFmtId="164" fontId="28" fillId="2" borderId="15" xfId="0" applyNumberFormat="1" applyFont="1" applyFill="1" applyBorder="1" applyAlignment="1" applyProtection="1">
      <alignment horizontal="center"/>
      <protection/>
    </xf>
    <xf numFmtId="164" fontId="28" fillId="2" borderId="16" xfId="0" applyFont="1" applyFill="1" applyBorder="1" applyAlignment="1">
      <alignment horizontal="centerContinuous"/>
    </xf>
    <xf numFmtId="164" fontId="28" fillId="2" borderId="17" xfId="0" applyNumberFormat="1" applyFont="1" applyFill="1" applyBorder="1" applyAlignment="1" applyProtection="1">
      <alignment horizontal="centerContinuous"/>
      <protection/>
    </xf>
    <xf numFmtId="164" fontId="28" fillId="2" borderId="18" xfId="0" applyNumberFormat="1" applyFont="1" applyFill="1" applyBorder="1" applyAlignment="1" applyProtection="1">
      <alignment horizontal="center"/>
      <protection/>
    </xf>
    <xf numFmtId="164" fontId="28" fillId="2" borderId="19" xfId="0" applyFont="1" applyFill="1" applyBorder="1" applyAlignment="1">
      <alignment/>
    </xf>
    <xf numFmtId="164" fontId="28" fillId="2" borderId="20" xfId="0" applyNumberFormat="1" applyFont="1" applyFill="1" applyBorder="1" applyAlignment="1" applyProtection="1">
      <alignment horizontal="centerContinuous"/>
      <protection/>
    </xf>
    <xf numFmtId="164" fontId="28" fillId="2" borderId="21" xfId="0" applyFont="1" applyFill="1" applyBorder="1" applyAlignment="1">
      <alignment horizontal="centerContinuous"/>
    </xf>
    <xf numFmtId="164" fontId="28" fillId="2" borderId="18" xfId="0" applyFont="1" applyFill="1" applyBorder="1" applyAlignment="1">
      <alignment/>
    </xf>
    <xf numFmtId="164" fontId="28" fillId="2" borderId="17" xfId="0" applyNumberFormat="1" applyFont="1" applyFill="1" applyBorder="1" applyAlignment="1" applyProtection="1">
      <alignment horizontal="center"/>
      <protection/>
    </xf>
    <xf numFmtId="164" fontId="28" fillId="2" borderId="13" xfId="0" applyNumberFormat="1" applyFont="1" applyFill="1" applyBorder="1" applyAlignment="1" applyProtection="1">
      <alignment horizontal="center"/>
      <protection/>
    </xf>
    <xf numFmtId="164" fontId="28" fillId="2" borderId="22" xfId="0" applyNumberFormat="1" applyFont="1" applyFill="1" applyBorder="1" applyAlignment="1" applyProtection="1">
      <alignment horizontal="center"/>
      <protection/>
    </xf>
    <xf numFmtId="164" fontId="28" fillId="2" borderId="19" xfId="0" applyNumberFormat="1" applyFont="1" applyFill="1" applyBorder="1" applyAlignment="1" applyProtection="1">
      <alignment horizontal="center"/>
      <protection/>
    </xf>
    <xf numFmtId="164" fontId="28" fillId="2" borderId="23" xfId="0" applyNumberFormat="1" applyFont="1" applyFill="1" applyBorder="1" applyAlignment="1" applyProtection="1">
      <alignment horizontal="center"/>
      <protection/>
    </xf>
    <xf numFmtId="164" fontId="28" fillId="2" borderId="24" xfId="0" applyNumberFormat="1" applyFont="1" applyFill="1" applyBorder="1" applyAlignment="1" applyProtection="1">
      <alignment horizontal="center"/>
      <protection/>
    </xf>
    <xf numFmtId="164" fontId="28" fillId="2" borderId="21" xfId="0" applyNumberFormat="1" applyFont="1" applyFill="1" applyBorder="1" applyAlignment="1" applyProtection="1">
      <alignment horizontal="center"/>
      <protection/>
    </xf>
    <xf numFmtId="164" fontId="28" fillId="2" borderId="20" xfId="0" applyNumberFormat="1" applyFont="1" applyFill="1" applyBorder="1" applyAlignment="1" applyProtection="1">
      <alignment horizontal="center"/>
      <protection/>
    </xf>
    <xf numFmtId="164" fontId="28" fillId="2" borderId="13" xfId="0" applyNumberFormat="1" applyFont="1" applyFill="1" applyBorder="1" applyAlignment="1" applyProtection="1">
      <alignment horizontal="left"/>
      <protection/>
    </xf>
    <xf numFmtId="164" fontId="28" fillId="2" borderId="16" xfId="0" applyNumberFormat="1" applyFont="1" applyFill="1" applyBorder="1" applyAlignment="1" applyProtection="1">
      <alignment horizontal="center"/>
      <protection/>
    </xf>
    <xf numFmtId="164" fontId="28" fillId="2" borderId="22" xfId="0" applyFont="1" applyFill="1" applyBorder="1" applyAlignment="1">
      <alignment/>
    </xf>
    <xf numFmtId="164" fontId="28" fillId="2" borderId="16" xfId="0" applyFont="1" applyFill="1" applyBorder="1" applyAlignment="1">
      <alignment/>
    </xf>
    <xf numFmtId="164" fontId="28" fillId="2" borderId="24" xfId="0" applyNumberFormat="1" applyFont="1" applyFill="1" applyBorder="1" applyAlignment="1" applyProtection="1">
      <alignment horizontal="left"/>
      <protection/>
    </xf>
    <xf numFmtId="164" fontId="28" fillId="2" borderId="25" xfId="0" applyFont="1" applyFill="1" applyBorder="1" applyAlignment="1">
      <alignment/>
    </xf>
    <xf numFmtId="164" fontId="28" fillId="2" borderId="24" xfId="0" applyFont="1" applyFill="1" applyBorder="1" applyAlignment="1">
      <alignment/>
    </xf>
    <xf numFmtId="164" fontId="28" fillId="2" borderId="0" xfId="0" applyNumberFormat="1" applyFont="1" applyFill="1" applyBorder="1" applyAlignment="1" applyProtection="1">
      <alignment horizontal="center"/>
      <protection/>
    </xf>
    <xf numFmtId="0" fontId="28" fillId="2" borderId="0" xfId="25" applyFont="1" applyFill="1" applyAlignment="1">
      <alignment horizontal="center"/>
      <protection/>
    </xf>
    <xf numFmtId="164" fontId="28" fillId="2" borderId="18" xfId="0" applyNumberFormat="1" applyFont="1" applyFill="1" applyBorder="1" applyAlignment="1" applyProtection="1">
      <alignment horizontal="left"/>
      <protection/>
    </xf>
    <xf numFmtId="164" fontId="28" fillId="2" borderId="22" xfId="0" applyFont="1" applyFill="1" applyBorder="1" applyAlignment="1">
      <alignment horizontal="centerContinuous"/>
    </xf>
    <xf numFmtId="164" fontId="28" fillId="2" borderId="17" xfId="0" applyFont="1" applyFill="1" applyBorder="1" applyAlignment="1">
      <alignment/>
    </xf>
    <xf numFmtId="164" fontId="28" fillId="2" borderId="13" xfId="0" applyNumberFormat="1" applyFont="1" applyFill="1" applyBorder="1" applyAlignment="1" applyProtection="1">
      <alignment horizontal="centerContinuous"/>
      <protection/>
    </xf>
    <xf numFmtId="164" fontId="28" fillId="2" borderId="25" xfId="0" applyFont="1" applyFill="1" applyBorder="1" applyAlignment="1">
      <alignment horizontal="centerContinuous"/>
    </xf>
    <xf numFmtId="164" fontId="28" fillId="2" borderId="18" xfId="0" applyNumberFormat="1" applyFont="1" applyFill="1" applyBorder="1" applyAlignment="1" applyProtection="1">
      <alignment horizontal="centerContinuous"/>
      <protection/>
    </xf>
    <xf numFmtId="164" fontId="28" fillId="2" borderId="23" xfId="0" applyFont="1" applyFill="1" applyBorder="1" applyAlignment="1">
      <alignment horizontal="centerContinuous"/>
    </xf>
    <xf numFmtId="164" fontId="28" fillId="2" borderId="0" xfId="0" applyFont="1" applyFill="1" applyAlignment="1">
      <alignment horizontal="center"/>
    </xf>
    <xf numFmtId="164" fontId="28" fillId="2" borderId="26" xfId="0" applyNumberFormat="1" applyFont="1" applyFill="1" applyBorder="1" applyAlignment="1" applyProtection="1">
      <alignment horizontal="center"/>
      <protection/>
    </xf>
    <xf numFmtId="164" fontId="28" fillId="2" borderId="26" xfId="0" applyFont="1" applyFill="1" applyBorder="1" applyAlignment="1">
      <alignment/>
    </xf>
    <xf numFmtId="164" fontId="28" fillId="2" borderId="15" xfId="0" applyFont="1" applyFill="1" applyBorder="1" applyAlignment="1">
      <alignment/>
    </xf>
    <xf numFmtId="164" fontId="28" fillId="2" borderId="27" xfId="0" applyNumberFormat="1" applyFont="1" applyFill="1" applyBorder="1" applyAlignment="1" applyProtection="1">
      <alignment horizontal="centerContinuous"/>
      <protection/>
    </xf>
    <xf numFmtId="164" fontId="28" fillId="2" borderId="28" xfId="0" applyFont="1" applyFill="1" applyBorder="1" applyAlignment="1">
      <alignment horizontal="centerContinuous"/>
    </xf>
    <xf numFmtId="164" fontId="28" fillId="2" borderId="29" xfId="0" applyFont="1" applyFill="1" applyBorder="1" applyAlignment="1">
      <alignment horizontal="centerContinuous"/>
    </xf>
    <xf numFmtId="164" fontId="28" fillId="2" borderId="28" xfId="0" applyNumberFormat="1" applyFont="1" applyFill="1" applyBorder="1" applyAlignment="1" applyProtection="1">
      <alignment horizontal="centerContinuous"/>
      <protection/>
    </xf>
    <xf numFmtId="164" fontId="28" fillId="2" borderId="30" xfId="0" applyNumberFormat="1" applyFont="1" applyFill="1" applyBorder="1" applyAlignment="1" applyProtection="1">
      <alignment horizontal="center"/>
      <protection/>
    </xf>
    <xf numFmtId="164" fontId="28" fillId="2" borderId="0" xfId="0" applyFont="1" applyFill="1" applyBorder="1" applyAlignment="1">
      <alignment horizontal="centerContinuous"/>
    </xf>
    <xf numFmtId="164" fontId="28" fillId="2" borderId="10" xfId="0" applyFont="1" applyFill="1" applyBorder="1" applyAlignment="1">
      <alignment/>
    </xf>
    <xf numFmtId="164" fontId="28" fillId="2" borderId="11" xfId="0" applyFont="1" applyFill="1" applyBorder="1" applyAlignment="1">
      <alignment/>
    </xf>
    <xf numFmtId="164" fontId="28" fillId="2" borderId="11" xfId="0" applyNumberFormat="1" applyFont="1" applyFill="1" applyBorder="1" applyAlignment="1" applyProtection="1">
      <alignment horizontal="center"/>
      <protection/>
    </xf>
    <xf numFmtId="164" fontId="28" fillId="2" borderId="12" xfId="0" applyNumberFormat="1" applyFont="1" applyFill="1" applyBorder="1" applyAlignment="1" applyProtection="1">
      <alignment horizontal="center"/>
      <protection/>
    </xf>
    <xf numFmtId="164" fontId="28" fillId="2" borderId="0" xfId="0" applyNumberFormat="1" applyFont="1" applyFill="1" applyBorder="1" applyAlignment="1" applyProtection="1">
      <alignment horizontal="centerContinuous"/>
      <protection/>
    </xf>
    <xf numFmtId="164" fontId="28" fillId="2" borderId="2" xfId="0" applyFont="1" applyFill="1" applyBorder="1" applyAlignment="1">
      <alignment horizontal="centerContinuous"/>
    </xf>
    <xf numFmtId="164" fontId="28" fillId="2" borderId="7" xfId="0" applyFont="1" applyFill="1" applyBorder="1" applyAlignment="1">
      <alignment horizontal="centerContinuous"/>
    </xf>
    <xf numFmtId="164" fontId="28" fillId="2" borderId="5" xfId="0" applyNumberFormat="1" applyFont="1" applyFill="1" applyBorder="1" applyAlignment="1" applyProtection="1">
      <alignment horizontal="centerContinuous"/>
      <protection/>
    </xf>
    <xf numFmtId="164" fontId="28" fillId="2" borderId="9" xfId="0" applyFont="1" applyFill="1" applyBorder="1" applyAlignment="1">
      <alignment horizontal="centerContinuous"/>
    </xf>
    <xf numFmtId="164" fontId="28" fillId="2" borderId="2" xfId="0" applyNumberFormat="1" applyFont="1" applyFill="1" applyBorder="1" applyAlignment="1" applyProtection="1">
      <alignment horizontal="centerContinuous"/>
      <protection/>
    </xf>
    <xf numFmtId="164" fontId="28" fillId="2" borderId="10" xfId="0" applyNumberFormat="1" applyFont="1" applyFill="1" applyBorder="1" applyAlignment="1" applyProtection="1">
      <alignment horizontal="center"/>
      <protection/>
    </xf>
    <xf numFmtId="164" fontId="28" fillId="2" borderId="0" xfId="0" applyFont="1" applyFill="1" applyBorder="1" applyAlignment="1">
      <alignment/>
    </xf>
    <xf numFmtId="164" fontId="28" fillId="2" borderId="0" xfId="0" applyFont="1" applyFill="1" applyBorder="1" applyAlignment="1">
      <alignment horizontal="center"/>
    </xf>
    <xf numFmtId="164" fontId="28" fillId="2" borderId="11" xfId="0" applyNumberFormat="1" applyFont="1" applyFill="1" applyBorder="1" applyAlignment="1" applyProtection="1" quotePrefix="1">
      <alignment horizontal="center"/>
      <protection/>
    </xf>
    <xf numFmtId="164" fontId="28" fillId="2" borderId="3" xfId="0" applyNumberFormat="1" applyFont="1" applyFill="1" applyBorder="1" applyAlignment="1" applyProtection="1">
      <alignment horizontal="center"/>
      <protection/>
    </xf>
    <xf numFmtId="164" fontId="28" fillId="2" borderId="3" xfId="0" applyFont="1" applyFill="1" applyBorder="1" applyAlignment="1">
      <alignment/>
    </xf>
    <xf numFmtId="164" fontId="28" fillId="2" borderId="7" xfId="0" applyNumberFormat="1" applyFont="1" applyFill="1" applyBorder="1" applyAlignment="1" applyProtection="1">
      <alignment horizontal="center"/>
      <protection/>
    </xf>
    <xf numFmtId="164" fontId="28" fillId="2" borderId="8" xfId="0" applyFont="1" applyFill="1" applyBorder="1" applyAlignment="1">
      <alignment horizontal="center"/>
    </xf>
    <xf numFmtId="164" fontId="28" fillId="2" borderId="10" xfId="0" applyNumberFormat="1" applyFont="1" applyFill="1" applyBorder="1" applyAlignment="1" applyProtection="1">
      <alignment horizontal="left"/>
      <protection/>
    </xf>
    <xf numFmtId="2" fontId="28" fillId="2" borderId="11" xfId="0" applyNumberFormat="1" applyFont="1" applyFill="1" applyBorder="1" applyAlignment="1" applyProtection="1">
      <alignment horizontal="left"/>
      <protection/>
    </xf>
    <xf numFmtId="164" fontId="28" fillId="2" borderId="11" xfId="0" applyNumberFormat="1" applyFont="1" applyFill="1" applyBorder="1" applyAlignment="1" applyProtection="1">
      <alignment horizontal="left"/>
      <protection/>
    </xf>
    <xf numFmtId="164" fontId="28" fillId="2" borderId="30" xfId="0" applyNumberFormat="1" applyFont="1" applyFill="1" applyBorder="1" applyAlignment="1" applyProtection="1">
      <alignment horizontal="left"/>
      <protection/>
    </xf>
    <xf numFmtId="164" fontId="28" fillId="2" borderId="28" xfId="0" applyNumberFormat="1" applyFont="1" applyFill="1" applyBorder="1" applyAlignment="1" applyProtection="1">
      <alignment horizontal="center"/>
      <protection/>
    </xf>
    <xf numFmtId="164" fontId="28" fillId="2" borderId="28" xfId="0" applyFont="1" applyFill="1" applyBorder="1" applyAlignment="1">
      <alignment/>
    </xf>
    <xf numFmtId="164" fontId="28" fillId="2" borderId="30" xfId="0" applyFont="1" applyFill="1" applyBorder="1" applyAlignment="1">
      <alignment/>
    </xf>
    <xf numFmtId="164" fontId="28" fillId="2" borderId="29" xfId="0" applyNumberFormat="1" applyFont="1" applyFill="1" applyBorder="1" applyAlignment="1" applyProtection="1">
      <alignment horizontal="center"/>
      <protection/>
    </xf>
    <xf numFmtId="164" fontId="28" fillId="2" borderId="4" xfId="0" applyNumberFormat="1" applyFont="1" applyFill="1" applyBorder="1" applyAlignment="1" applyProtection="1">
      <alignment horizontal="center"/>
      <protection/>
    </xf>
    <xf numFmtId="164" fontId="28" fillId="2" borderId="4" xfId="0" applyFont="1" applyFill="1" applyBorder="1" applyAlignment="1">
      <alignment/>
    </xf>
    <xf numFmtId="164" fontId="28" fillId="2" borderId="2" xfId="0" applyNumberFormat="1" applyFont="1" applyFill="1" applyBorder="1" applyAlignment="1" applyProtection="1">
      <alignment horizontal="center"/>
      <protection/>
    </xf>
    <xf numFmtId="164" fontId="28" fillId="2" borderId="5" xfId="0" applyNumberFormat="1" applyFont="1" applyFill="1" applyBorder="1" applyAlignment="1" applyProtection="1">
      <alignment horizontal="center"/>
      <protection/>
    </xf>
    <xf numFmtId="164" fontId="28" fillId="2" borderId="6" xfId="0" applyNumberFormat="1" applyFont="1" applyFill="1" applyBorder="1" applyAlignment="1" applyProtection="1">
      <alignment horizontal="center"/>
      <protection/>
    </xf>
    <xf numFmtId="164" fontId="28" fillId="2" borderId="3" xfId="0" applyFont="1" applyFill="1" applyBorder="1" applyAlignment="1">
      <alignment horizontal="centerContinuous"/>
    </xf>
    <xf numFmtId="164" fontId="28" fillId="2" borderId="6" xfId="0" applyFont="1" applyFill="1" applyBorder="1" applyAlignment="1">
      <alignment horizontal="centerContinuous"/>
    </xf>
    <xf numFmtId="164" fontId="28" fillId="2" borderId="8" xfId="0" applyNumberFormat="1" applyFont="1" applyFill="1" applyBorder="1" applyAlignment="1" applyProtection="1">
      <alignment horizontal="center"/>
      <protection/>
    </xf>
    <xf numFmtId="164" fontId="28" fillId="2" borderId="2" xfId="0" applyFont="1" applyFill="1" applyBorder="1" applyAlignment="1">
      <alignment/>
    </xf>
    <xf numFmtId="164" fontId="28" fillId="2" borderId="7" xfId="0" applyFont="1" applyFill="1" applyBorder="1" applyAlignment="1">
      <alignment/>
    </xf>
    <xf numFmtId="164" fontId="28" fillId="2" borderId="8" xfId="0" applyFont="1" applyFill="1" applyBorder="1" applyAlignment="1">
      <alignment/>
    </xf>
    <xf numFmtId="164" fontId="28" fillId="2" borderId="27" xfId="0" applyFont="1" applyFill="1" applyBorder="1" applyAlignment="1">
      <alignment/>
    </xf>
    <xf numFmtId="164" fontId="28" fillId="2" borderId="29" xfId="0" applyFont="1" applyFill="1" applyBorder="1" applyAlignment="1">
      <alignment/>
    </xf>
    <xf numFmtId="0" fontId="14" fillId="2" borderId="0" xfId="24" applyFont="1" applyFill="1">
      <alignment/>
    </xf>
    <xf numFmtId="0" fontId="14" fillId="2" borderId="0" xfId="24" applyFont="1" applyFill="1" applyAlignment="1">
      <alignment horizontal="center"/>
    </xf>
    <xf numFmtId="38" fontId="14" fillId="2" borderId="0" xfId="17" applyFont="1" applyFill="1" applyAlignment="1">
      <alignment/>
    </xf>
    <xf numFmtId="192" fontId="14" fillId="2" borderId="0" xfId="17" applyNumberFormat="1" applyFont="1" applyFill="1" applyBorder="1" applyAlignment="1">
      <alignment/>
    </xf>
    <xf numFmtId="0" fontId="14" fillId="2" borderId="0" xfId="24" applyFont="1" applyFill="1" applyAlignment="1">
      <alignment/>
    </xf>
    <xf numFmtId="192" fontId="14" fillId="2" borderId="0" xfId="24" applyNumberFormat="1" applyFont="1" applyFill="1">
      <alignment/>
    </xf>
    <xf numFmtId="192" fontId="14" fillId="2" borderId="0" xfId="17" applyNumberFormat="1" applyFont="1" applyFill="1" applyAlignment="1">
      <alignment/>
    </xf>
    <xf numFmtId="180" fontId="14" fillId="2" borderId="0" xfId="24" applyNumberFormat="1" applyFont="1" applyFill="1">
      <alignment/>
    </xf>
    <xf numFmtId="0" fontId="13" fillId="2" borderId="0" xfId="24" applyFont="1" applyFill="1">
      <alignment/>
    </xf>
    <xf numFmtId="38" fontId="14" fillId="2" borderId="0" xfId="17" applyFont="1" applyFill="1" applyAlignment="1">
      <alignment horizontal="center"/>
    </xf>
    <xf numFmtId="38" fontId="14" fillId="2" borderId="0" xfId="24" applyNumberFormat="1" applyFont="1" applyFill="1" applyAlignment="1">
      <alignment horizontal="center"/>
    </xf>
    <xf numFmtId="38" fontId="14" fillId="2" borderId="0" xfId="24" applyNumberFormat="1" applyFont="1" applyFill="1">
      <alignment/>
    </xf>
    <xf numFmtId="0" fontId="14" fillId="2" borderId="0" xfId="24" applyFont="1" applyFill="1" applyBorder="1" applyAlignment="1">
      <alignment horizontal="center"/>
    </xf>
    <xf numFmtId="192" fontId="14" fillId="2" borderId="0" xfId="17" applyNumberFormat="1" applyFont="1" applyFill="1" applyAlignment="1">
      <alignment horizontal="center"/>
    </xf>
    <xf numFmtId="38" fontId="14" fillId="2" borderId="0" xfId="17" applyNumberFormat="1" applyFont="1" applyFill="1" applyAlignment="1">
      <alignment horizontal="center"/>
    </xf>
    <xf numFmtId="165" fontId="14" fillId="2" borderId="31" xfId="27" applyFont="1" applyFill="1" applyBorder="1" applyAlignment="1">
      <alignment horizontal="center"/>
    </xf>
    <xf numFmtId="165" fontId="14" fillId="2" borderId="32" xfId="27" applyFont="1" applyFill="1" applyBorder="1" applyAlignment="1">
      <alignment horizontal="center"/>
    </xf>
    <xf numFmtId="165" fontId="14" fillId="2" borderId="33" xfId="27" applyFont="1" applyFill="1" applyBorder="1" applyAlignment="1">
      <alignment horizontal="center"/>
    </xf>
    <xf numFmtId="0" fontId="14" fillId="2" borderId="6" xfId="24" applyFont="1" applyFill="1" applyBorder="1" applyAlignment="1">
      <alignment horizontal="center"/>
    </xf>
    <xf numFmtId="0" fontId="14" fillId="2" borderId="6" xfId="24" applyFont="1" applyFill="1" applyBorder="1">
      <alignment/>
    </xf>
    <xf numFmtId="165" fontId="14" fillId="2" borderId="0" xfId="27" applyFont="1" applyFill="1" applyAlignment="1">
      <alignment/>
    </xf>
    <xf numFmtId="0" fontId="14" fillId="2" borderId="30" xfId="24" applyFont="1" applyFill="1" applyBorder="1">
      <alignment/>
    </xf>
    <xf numFmtId="192" fontId="14" fillId="2" borderId="30" xfId="17" applyNumberFormat="1" applyFont="1" applyFill="1" applyBorder="1" applyAlignment="1">
      <alignment/>
    </xf>
    <xf numFmtId="0" fontId="31" fillId="2" borderId="0" xfId="24" applyFont="1" applyFill="1">
      <alignment/>
    </xf>
    <xf numFmtId="3" fontId="4" fillId="0" borderId="0" xfId="25" applyNumberFormat="1" applyFont="1">
      <alignment/>
      <protection/>
    </xf>
  </cellXfs>
  <cellStyles count="14">
    <cellStyle name="Normal" xfId="0"/>
    <cellStyle name="Comma" xfId="15"/>
    <cellStyle name="Comma [0]" xfId="16"/>
    <cellStyle name="Comma_new basic 3A" xfId="17"/>
    <cellStyle name="Currency" xfId="18"/>
    <cellStyle name="Currency [0]" xfId="19"/>
    <cellStyle name="Normal_2003basic1and2" xfId="20"/>
    <cellStyle name="Normal_basic1and2" xfId="21"/>
    <cellStyle name="Normal_basic3home" xfId="22"/>
    <cellStyle name="Normal_basic3old" xfId="23"/>
    <cellStyle name="Normal_new basic 3A" xfId="24"/>
    <cellStyle name="Normal_SHEET" xfId="25"/>
    <cellStyle name="Percent" xfId="26"/>
    <cellStyle name="Percent_new basic 3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25"/>
          <c:w val="0.951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'Short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'Short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'Short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'Short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'Short Tail Case'!$BI$28:$BI$37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7592935"/>
        <c:axId val="48574368"/>
      </c:barChart>
      <c:catAx>
        <c:axId val="57592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FFFF00"/>
                    </a:solidFill>
                  </a:rPr>
                  <a:t>Accident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FFFF00"/>
                </a:solidFill>
              </a:defRPr>
            </a:pPr>
          </a:p>
        </c:txPr>
        <c:crossAx val="48574368"/>
        <c:crosses val="autoZero"/>
        <c:auto val="1"/>
        <c:lblOffset val="100"/>
        <c:noMultiLvlLbl val="0"/>
      </c:catAx>
      <c:valAx>
        <c:axId val="48574368"/>
        <c:scaling>
          <c:orientation val="minMax"/>
          <c:max val="25000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FFFF00"/>
                </a:solidFill>
              </a:defRPr>
            </a:pPr>
          </a:p>
        </c:txPr>
        <c:crossAx val="57592935"/>
        <c:crossesAt val="1"/>
        <c:crossBetween val="between"/>
        <c:dispUnits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0985"/>
          <c:w val="0.62775"/>
          <c:h val="0.1855"/>
        </c:manualLayout>
      </c:layout>
      <c:overlay val="0"/>
      <c:spPr>
        <a:solidFill>
          <a:srgbClr val="0000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FFFF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975"/>
          <c:w val="0.919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'Long Tail Case'!$BF$28:$BF$37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'Long Tail Case'!$BG$28:$BG$37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'Long Tail Case'!$BH$28:$BH$37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'Long Tail Case'!$BE$28:$BE$37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'Long Tail Case'!$BI$28:$BI$37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4516129"/>
        <c:axId val="42209706"/>
      </c:barChart>
      <c:catAx>
        <c:axId val="34516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FFFF00"/>
                    </a:solidFill>
                  </a:rPr>
                  <a:t>Accident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FFFF00"/>
                </a:solidFill>
              </a:defRPr>
            </a:pPr>
          </a:p>
        </c:txPr>
        <c:crossAx val="42209706"/>
        <c:crosses val="autoZero"/>
        <c:auto val="1"/>
        <c:lblOffset val="100"/>
        <c:noMultiLvlLbl val="0"/>
      </c:catAx>
      <c:valAx>
        <c:axId val="42209706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FFFF00"/>
                </a:solidFill>
              </a:defRPr>
            </a:pPr>
          </a:p>
        </c:txPr>
        <c:crossAx val="34516129"/>
        <c:crossesAt val="1"/>
        <c:crossBetween val="between"/>
        <c:dispUnits/>
      </c:valAx>
      <c:spPr>
        <a:solidFill>
          <a:srgbClr val="0000FF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12475"/>
          <c:y val="0.08325"/>
          <c:w val="0.56225"/>
          <c:h val="0.159"/>
        </c:manualLayout>
      </c:layout>
      <c:overlay val="0"/>
      <c:spPr>
        <a:solidFill>
          <a:srgbClr val="0000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775"/>
          <c:w val="0.907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'Case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'Case 3'!$BF$28:$BF$37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Paid LDF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'Case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'Case 3'!$BG$28:$BG$37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v>Incurred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'Case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'Case 3'!$BH$28:$BH$37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v>Paid BF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'Case 3'!$BE$28:$BE$37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'Case 3'!$BI$28:$BI$37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4343035"/>
        <c:axId val="63542996"/>
      </c:barChart>
      <c:catAx>
        <c:axId val="44343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crossAx val="63542996"/>
        <c:crosses val="autoZero"/>
        <c:auto val="1"/>
        <c:lblOffset val="100"/>
        <c:noMultiLvlLbl val="0"/>
      </c:catAx>
      <c:valAx>
        <c:axId val="63542996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crossAx val="44343035"/>
        <c:crossesAt val="1"/>
        <c:crossBetween val="between"/>
        <c:dispUnits/>
      </c:valAx>
      <c:spPr>
        <a:solidFill>
          <a:srgbClr val="0000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5"/>
          <c:y val="0.09275"/>
          <c:w val="0.52775"/>
          <c:h val="0.21625"/>
        </c:manualLayout>
      </c:layout>
      <c:overlay val="0"/>
      <c:spPr>
        <a:solidFill>
          <a:srgbClr val="0000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00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2194500" y="7153275"/>
        <a:ext cx="48577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813500" y="7124700"/>
        <a:ext cx="48768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6943725"/>
        <a:ext cx="4876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2"/>
  <sheetViews>
    <sheetView showGridLines="0" tabSelected="1" workbookViewId="0" topLeftCell="A1">
      <selection activeCell="A1" sqref="A1"/>
    </sheetView>
  </sheetViews>
  <sheetFormatPr defaultColWidth="8.88671875" defaultRowHeight="15.75"/>
  <cols>
    <col min="1" max="1" width="7.21484375" style="9" customWidth="1"/>
    <col min="2" max="2" width="11.4453125" style="9" customWidth="1"/>
    <col min="3" max="3" width="21.4453125" style="9" bestFit="1" customWidth="1"/>
    <col min="4" max="4" width="27.3359375" style="9" bestFit="1" customWidth="1"/>
    <col min="5" max="9" width="7.21484375" style="9" customWidth="1"/>
    <col min="10" max="16384" width="7.10546875" style="9" customWidth="1"/>
  </cols>
  <sheetData>
    <row r="4" spans="2:4" ht="12.75">
      <c r="B4" s="8" t="s">
        <v>151</v>
      </c>
      <c r="C4" s="8" t="s">
        <v>152</v>
      </c>
      <c r="D4" s="8" t="s">
        <v>153</v>
      </c>
    </row>
    <row r="6" spans="2:4" ht="12.75">
      <c r="B6" s="9" t="s">
        <v>154</v>
      </c>
      <c r="C6" s="10">
        <v>2002</v>
      </c>
      <c r="D6" s="9" t="s">
        <v>155</v>
      </c>
    </row>
    <row r="7" spans="2:4" ht="12.75">
      <c r="B7" s="9" t="s">
        <v>156</v>
      </c>
      <c r="C7" s="11">
        <v>37621</v>
      </c>
      <c r="D7" s="9" t="s">
        <v>157</v>
      </c>
    </row>
    <row r="8" spans="2:5" ht="12.75">
      <c r="B8" s="12" t="s">
        <v>158</v>
      </c>
      <c r="C8" s="13" t="s">
        <v>159</v>
      </c>
      <c r="D8" s="14" t="s">
        <v>160</v>
      </c>
      <c r="E8" s="14"/>
    </row>
    <row r="9" spans="2:5" ht="12.75">
      <c r="B9" s="12" t="s">
        <v>161</v>
      </c>
      <c r="C9" s="13" t="s">
        <v>162</v>
      </c>
      <c r="D9" s="9" t="s">
        <v>163</v>
      </c>
      <c r="E9" s="14"/>
    </row>
    <row r="10" spans="2:5" ht="12.75">
      <c r="B10" s="12" t="s">
        <v>164</v>
      </c>
      <c r="C10" s="15">
        <v>0.09</v>
      </c>
      <c r="D10" s="9" t="s">
        <v>165</v>
      </c>
      <c r="E10" s="14"/>
    </row>
    <row r="11" spans="2:3" ht="12.75">
      <c r="B11" s="12"/>
      <c r="C11" s="16"/>
    </row>
    <row r="12" spans="2:3" ht="12.75">
      <c r="B12" s="12"/>
      <c r="C12" s="17"/>
    </row>
  </sheetData>
  <printOptions horizontalCentered="1"/>
  <pageMargins left="0.25" right="0.25" top="0.5" bottom="0.5" header="0.25" footer="0.25"/>
  <pageSetup blackAndWhite="1" fitToHeight="1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8" width="7.10546875" style="2" customWidth="1"/>
    <col min="9" max="9" width="10.4453125" style="2" customWidth="1"/>
    <col min="10" max="16384" width="7.10546875" style="2" customWidth="1"/>
  </cols>
  <sheetData>
    <row r="1" spans="1:10" ht="20.25">
      <c r="A1" s="132" t="s">
        <v>16</v>
      </c>
      <c r="B1" s="139"/>
      <c r="C1" s="140"/>
      <c r="D1" s="141"/>
      <c r="E1" s="141"/>
      <c r="F1" s="141"/>
      <c r="G1" s="27"/>
      <c r="H1" s="28"/>
      <c r="I1" s="28"/>
      <c r="J1" s="28"/>
    </row>
    <row r="2" spans="1:10" ht="12.75" customHeight="1">
      <c r="A2" s="32"/>
      <c r="B2" s="32"/>
      <c r="C2" s="32"/>
      <c r="D2" s="32"/>
      <c r="E2" s="32"/>
      <c r="F2" s="32"/>
      <c r="G2" s="32"/>
      <c r="H2" s="28"/>
      <c r="I2" s="28"/>
      <c r="J2" s="28"/>
    </row>
    <row r="3" spans="1:10" ht="15">
      <c r="A3" s="32"/>
      <c r="B3" s="32"/>
      <c r="C3" s="32"/>
      <c r="D3" s="32"/>
      <c r="E3" s="32"/>
      <c r="F3" s="32"/>
      <c r="G3" s="32"/>
      <c r="H3" s="28"/>
      <c r="I3" s="28"/>
      <c r="J3" s="28"/>
    </row>
    <row r="4" spans="1:10" ht="20.25">
      <c r="A4" s="32"/>
      <c r="B4" s="133" t="s">
        <v>141</v>
      </c>
      <c r="C4" s="134"/>
      <c r="D4" s="134"/>
      <c r="E4" s="134"/>
      <c r="F4" s="134"/>
      <c r="G4" s="32"/>
      <c r="H4" s="28"/>
      <c r="I4" s="135">
        <v>0.078</v>
      </c>
      <c r="J4" s="28"/>
    </row>
    <row r="5" spans="1:10" ht="16.5" customHeight="1">
      <c r="A5" s="32"/>
      <c r="B5" s="134"/>
      <c r="C5" s="134"/>
      <c r="D5" s="134"/>
      <c r="E5" s="134"/>
      <c r="F5" s="134"/>
      <c r="G5" s="32"/>
      <c r="H5" s="28"/>
      <c r="I5" s="135"/>
      <c r="J5" s="28"/>
    </row>
    <row r="6" spans="1:10" ht="20.25">
      <c r="A6" s="32"/>
      <c r="B6" s="133" t="s">
        <v>117</v>
      </c>
      <c r="C6" s="134"/>
      <c r="D6" s="134"/>
      <c r="E6" s="134"/>
      <c r="F6" s="134"/>
      <c r="G6" s="32"/>
      <c r="H6" s="28"/>
      <c r="I6" s="135">
        <f>I4/2</f>
        <v>0.039</v>
      </c>
      <c r="J6" s="28"/>
    </row>
    <row r="7" spans="1:10" ht="12" customHeight="1">
      <c r="A7" s="32"/>
      <c r="B7" s="134"/>
      <c r="C7" s="134"/>
      <c r="D7" s="134"/>
      <c r="E7" s="134"/>
      <c r="F7" s="134"/>
      <c r="G7" s="32"/>
      <c r="H7" s="28"/>
      <c r="I7" s="136"/>
      <c r="J7" s="28"/>
    </row>
    <row r="8" spans="1:10" ht="20.25">
      <c r="A8" s="32"/>
      <c r="B8" s="133" t="s">
        <v>118</v>
      </c>
      <c r="C8" s="134"/>
      <c r="D8" s="134"/>
      <c r="E8" s="134"/>
      <c r="F8" s="134"/>
      <c r="G8" s="32"/>
      <c r="H8" s="28"/>
      <c r="I8" s="137">
        <v>22989</v>
      </c>
      <c r="J8" s="28"/>
    </row>
    <row r="9" spans="1:10" ht="11.25" customHeight="1">
      <c r="A9" s="32"/>
      <c r="B9" s="134"/>
      <c r="C9" s="134"/>
      <c r="D9" s="134"/>
      <c r="E9" s="134"/>
      <c r="F9" s="134"/>
      <c r="G9" s="32"/>
      <c r="H9" s="28"/>
      <c r="I9" s="135"/>
      <c r="J9" s="28"/>
    </row>
    <row r="10" spans="1:10" ht="20.25">
      <c r="A10" s="32"/>
      <c r="B10" s="133" t="s">
        <v>119</v>
      </c>
      <c r="C10" s="134"/>
      <c r="D10" s="134"/>
      <c r="E10" s="134"/>
      <c r="F10" s="134"/>
      <c r="G10" s="32"/>
      <c r="H10" s="28"/>
      <c r="I10" s="137">
        <v>5296</v>
      </c>
      <c r="J10" s="28"/>
    </row>
    <row r="11" spans="1:10" ht="20.25">
      <c r="A11" s="32"/>
      <c r="B11" s="134"/>
      <c r="C11" s="134"/>
      <c r="D11" s="134"/>
      <c r="E11" s="134"/>
      <c r="F11" s="134"/>
      <c r="G11" s="32"/>
      <c r="H11" s="28"/>
      <c r="I11" s="28"/>
      <c r="J11" s="28"/>
    </row>
    <row r="12" spans="1:10" ht="20.25">
      <c r="A12" s="32"/>
      <c r="B12" s="133" t="s">
        <v>140</v>
      </c>
      <c r="C12" s="134"/>
      <c r="D12" s="134"/>
      <c r="E12" s="134"/>
      <c r="F12" s="134"/>
      <c r="G12" s="32"/>
      <c r="H12" s="28"/>
      <c r="I12" s="28"/>
      <c r="J12" s="28"/>
    </row>
    <row r="13" spans="1:10" ht="20.25">
      <c r="A13" s="32"/>
      <c r="B13" s="134"/>
      <c r="C13" s="134"/>
      <c r="D13" s="134"/>
      <c r="E13" s="134"/>
      <c r="F13" s="134"/>
      <c r="G13" s="32"/>
      <c r="H13" s="28"/>
      <c r="I13" s="28"/>
      <c r="J13" s="28"/>
    </row>
    <row r="14" spans="1:10" ht="20.25">
      <c r="A14" s="32"/>
      <c r="B14" s="138" t="s">
        <v>142</v>
      </c>
      <c r="C14" s="134"/>
      <c r="D14" s="134"/>
      <c r="E14" s="134"/>
      <c r="F14" s="134"/>
      <c r="G14" s="32"/>
      <c r="H14" s="28"/>
      <c r="I14" s="28"/>
      <c r="J14" s="28"/>
    </row>
    <row r="15" spans="1:10" ht="20.25">
      <c r="A15" s="32"/>
      <c r="B15" s="134"/>
      <c r="C15" s="134"/>
      <c r="D15" s="134"/>
      <c r="E15" s="134"/>
      <c r="F15" s="134"/>
      <c r="G15" s="32"/>
      <c r="H15" s="28"/>
      <c r="I15" s="28"/>
      <c r="J15" s="28"/>
    </row>
    <row r="16" spans="1:10" ht="20.25">
      <c r="A16" s="32"/>
      <c r="B16" s="138" t="s">
        <v>143</v>
      </c>
      <c r="C16" s="134"/>
      <c r="D16" s="134"/>
      <c r="E16" s="134"/>
      <c r="F16" s="134"/>
      <c r="G16" s="32"/>
      <c r="H16" s="28"/>
      <c r="I16" s="28"/>
      <c r="J16" s="28"/>
    </row>
    <row r="17" spans="1:10" ht="15">
      <c r="A17" s="32"/>
      <c r="B17" s="32"/>
      <c r="C17" s="32"/>
      <c r="D17" s="32"/>
      <c r="E17" s="32"/>
      <c r="F17" s="32"/>
      <c r="G17" s="32"/>
      <c r="H17" s="28"/>
      <c r="I17" s="28"/>
      <c r="J17" s="28"/>
    </row>
    <row r="18" spans="1:10" ht="20.25">
      <c r="A18" s="32"/>
      <c r="B18" s="138" t="s">
        <v>144</v>
      </c>
      <c r="C18" s="134"/>
      <c r="D18" s="32"/>
      <c r="E18" s="32"/>
      <c r="F18" s="32"/>
      <c r="G18" s="32"/>
      <c r="H18" s="28"/>
      <c r="I18" s="28"/>
      <c r="J18" s="28"/>
    </row>
    <row r="19" spans="1:10" ht="12.75">
      <c r="A19" s="28"/>
      <c r="B19" s="28"/>
      <c r="C19" s="28"/>
      <c r="D19" s="28"/>
      <c r="E19" s="28"/>
      <c r="F19" s="28"/>
      <c r="G19" s="28"/>
      <c r="H19" s="28"/>
      <c r="I19" s="28"/>
      <c r="J19" s="28"/>
    </row>
  </sheetData>
  <printOptions/>
  <pageMargins left="1" right="1" top="1.25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1"/>
  <sheetViews>
    <sheetView showGridLines="0" workbookViewId="0" topLeftCell="A1">
      <selection activeCell="A1" sqref="A1"/>
    </sheetView>
  </sheetViews>
  <sheetFormatPr defaultColWidth="8.88671875" defaultRowHeight="15.75"/>
  <cols>
    <col min="1" max="1" width="6.21484375" style="6" bestFit="1" customWidth="1"/>
    <col min="2" max="2" width="3.77734375" style="6" bestFit="1" customWidth="1"/>
    <col min="3" max="3" width="2.88671875" style="6" bestFit="1" customWidth="1"/>
    <col min="4" max="6" width="3.77734375" style="6" bestFit="1" customWidth="1"/>
    <col min="7" max="7" width="4.4453125" style="6" customWidth="1"/>
    <col min="8" max="8" width="4.5546875" style="6" customWidth="1"/>
    <col min="9" max="9" width="3.77734375" style="6" bestFit="1" customWidth="1"/>
    <col min="10" max="10" width="5.4453125" style="6" bestFit="1" customWidth="1"/>
    <col min="11" max="12" width="5.10546875" style="6" bestFit="1" customWidth="1"/>
    <col min="13" max="13" width="5.3359375" style="6" bestFit="1" customWidth="1"/>
    <col min="14" max="14" width="4.99609375" style="6" bestFit="1" customWidth="1"/>
    <col min="15" max="16384" width="7.10546875" style="6" customWidth="1"/>
  </cols>
  <sheetData>
    <row r="1" spans="1:15" ht="8.25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  <c r="O1" s="145"/>
    </row>
    <row r="2" spans="1:15" ht="8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5"/>
      <c r="O2" s="145"/>
    </row>
    <row r="3" spans="1:15" ht="8.25">
      <c r="A3" s="147"/>
      <c r="B3" s="187" t="s">
        <v>0</v>
      </c>
      <c r="C3" s="188"/>
      <c r="D3" s="189"/>
      <c r="E3" s="190" t="s">
        <v>1</v>
      </c>
      <c r="F3" s="188"/>
      <c r="G3" s="188"/>
      <c r="H3" s="188"/>
      <c r="I3" s="188"/>
      <c r="J3" s="188"/>
      <c r="K3" s="188"/>
      <c r="L3" s="189"/>
      <c r="M3" s="193"/>
      <c r="N3" s="146"/>
      <c r="O3" s="145"/>
    </row>
    <row r="4" spans="1:15" ht="8.25">
      <c r="A4" s="149" t="s">
        <v>2</v>
      </c>
      <c r="B4" s="191">
        <v>1</v>
      </c>
      <c r="C4" s="191">
        <v>2</v>
      </c>
      <c r="D4" s="191">
        <v>3</v>
      </c>
      <c r="E4" s="198"/>
      <c r="F4" s="199"/>
      <c r="G4" s="202" t="s">
        <v>120</v>
      </c>
      <c r="H4" s="199"/>
      <c r="I4" s="202" t="s">
        <v>122</v>
      </c>
      <c r="J4" s="199"/>
      <c r="K4" s="205"/>
      <c r="L4" s="193"/>
      <c r="M4" s="195">
        <v>12</v>
      </c>
      <c r="N4" s="146"/>
      <c r="O4" s="145"/>
    </row>
    <row r="5" spans="1:15" ht="8.25">
      <c r="A5" s="149" t="s">
        <v>3</v>
      </c>
      <c r="B5" s="193"/>
      <c r="C5" s="193"/>
      <c r="D5" s="193"/>
      <c r="E5" s="200" t="s">
        <v>4</v>
      </c>
      <c r="F5" s="201"/>
      <c r="G5" s="200" t="s">
        <v>121</v>
      </c>
      <c r="H5" s="201"/>
      <c r="I5" s="200" t="s">
        <v>28</v>
      </c>
      <c r="J5" s="201"/>
      <c r="K5" s="174">
        <v>10</v>
      </c>
      <c r="L5" s="195">
        <v>11</v>
      </c>
      <c r="M5" s="195" t="s">
        <v>5</v>
      </c>
      <c r="N5" s="146"/>
      <c r="O5" s="145"/>
    </row>
    <row r="6" spans="1:15" ht="8.25">
      <c r="A6" s="149" t="s">
        <v>6</v>
      </c>
      <c r="B6" s="194"/>
      <c r="C6" s="194"/>
      <c r="D6" s="194"/>
      <c r="E6" s="203">
        <v>4</v>
      </c>
      <c r="F6" s="203">
        <v>5</v>
      </c>
      <c r="G6" s="174">
        <v>6</v>
      </c>
      <c r="H6" s="203">
        <v>7</v>
      </c>
      <c r="I6" s="174">
        <v>8</v>
      </c>
      <c r="J6" s="203">
        <v>9</v>
      </c>
      <c r="K6" s="174" t="s">
        <v>7</v>
      </c>
      <c r="L6" s="195" t="s">
        <v>8</v>
      </c>
      <c r="M6" s="195" t="s">
        <v>9</v>
      </c>
      <c r="N6" s="146"/>
      <c r="O6" s="145"/>
    </row>
    <row r="7" spans="1:15" ht="8.25">
      <c r="A7" s="149" t="s">
        <v>10</v>
      </c>
      <c r="B7" s="195" t="s">
        <v>11</v>
      </c>
      <c r="C7" s="194"/>
      <c r="D7" s="194"/>
      <c r="E7" s="195" t="s">
        <v>11</v>
      </c>
      <c r="F7" s="194"/>
      <c r="G7" s="149" t="s">
        <v>11</v>
      </c>
      <c r="H7" s="194"/>
      <c r="I7" s="149" t="s">
        <v>11</v>
      </c>
      <c r="J7" s="194"/>
      <c r="K7" s="174" t="s">
        <v>12</v>
      </c>
      <c r="L7" s="195" t="s">
        <v>14</v>
      </c>
      <c r="M7" s="195" t="s">
        <v>15</v>
      </c>
      <c r="N7" s="146"/>
      <c r="O7" s="145"/>
    </row>
    <row r="8" spans="1:15" ht="8.25">
      <c r="A8" s="149" t="s">
        <v>18</v>
      </c>
      <c r="B8" s="195" t="s">
        <v>12</v>
      </c>
      <c r="C8" s="194"/>
      <c r="D8" s="195" t="s">
        <v>19</v>
      </c>
      <c r="E8" s="195" t="s">
        <v>12</v>
      </c>
      <c r="F8" s="194"/>
      <c r="G8" s="149" t="s">
        <v>12</v>
      </c>
      <c r="H8" s="194"/>
      <c r="I8" s="149" t="s">
        <v>12</v>
      </c>
      <c r="J8" s="194"/>
      <c r="K8" s="174" t="s">
        <v>20</v>
      </c>
      <c r="L8" s="195" t="s">
        <v>123</v>
      </c>
      <c r="M8" s="195" t="s">
        <v>22</v>
      </c>
      <c r="N8" s="146"/>
      <c r="O8" s="145"/>
    </row>
    <row r="9" spans="1:15" ht="8.25">
      <c r="A9" s="149" t="s">
        <v>23</v>
      </c>
      <c r="B9" s="195" t="s">
        <v>24</v>
      </c>
      <c r="C9" s="195" t="s">
        <v>25</v>
      </c>
      <c r="D9" s="195" t="s">
        <v>26</v>
      </c>
      <c r="E9" s="195" t="s">
        <v>24</v>
      </c>
      <c r="F9" s="195" t="s">
        <v>25</v>
      </c>
      <c r="G9" s="174" t="s">
        <v>24</v>
      </c>
      <c r="H9" s="195" t="s">
        <v>25</v>
      </c>
      <c r="I9" s="174" t="s">
        <v>24</v>
      </c>
      <c r="J9" s="195" t="s">
        <v>25</v>
      </c>
      <c r="K9" s="174" t="s">
        <v>27</v>
      </c>
      <c r="L9" s="206" t="s">
        <v>124</v>
      </c>
      <c r="M9" s="195" t="s">
        <v>24</v>
      </c>
      <c r="N9" s="146"/>
      <c r="O9" s="145"/>
    </row>
    <row r="10" spans="1:15" ht="8.25">
      <c r="A10" s="211" t="s">
        <v>29</v>
      </c>
      <c r="B10" s="203" t="s">
        <v>30</v>
      </c>
      <c r="C10" s="207" t="s">
        <v>30</v>
      </c>
      <c r="D10" s="203" t="s">
        <v>30</v>
      </c>
      <c r="E10" s="208"/>
      <c r="F10" s="193"/>
      <c r="G10" s="208"/>
      <c r="H10" s="193"/>
      <c r="I10" s="208"/>
      <c r="J10" s="193"/>
      <c r="K10" s="208"/>
      <c r="L10" s="193"/>
      <c r="M10" s="209" t="s">
        <v>30</v>
      </c>
      <c r="N10" s="146"/>
      <c r="O10" s="145"/>
    </row>
    <row r="11" spans="1:15" ht="8.25">
      <c r="A11" s="212" t="str">
        <f>"2.  "&amp;curryr-9</f>
        <v>2.  1993</v>
      </c>
      <c r="B11" s="194"/>
      <c r="C11" s="204"/>
      <c r="D11" s="194"/>
      <c r="E11" s="204"/>
      <c r="F11" s="194"/>
      <c r="G11" s="204"/>
      <c r="H11" s="194"/>
      <c r="I11" s="204"/>
      <c r="J11" s="194"/>
      <c r="K11" s="204"/>
      <c r="L11" s="194"/>
      <c r="M11" s="210"/>
      <c r="N11" s="146"/>
      <c r="O11" s="145"/>
    </row>
    <row r="12" spans="1:15" ht="8.25">
      <c r="A12" s="212" t="str">
        <f>"3.  "&amp;curryr-8</f>
        <v>3.  1994</v>
      </c>
      <c r="B12" s="194"/>
      <c r="C12" s="204"/>
      <c r="D12" s="194"/>
      <c r="E12" s="204"/>
      <c r="F12" s="194"/>
      <c r="G12" s="204"/>
      <c r="H12" s="194"/>
      <c r="I12" s="204"/>
      <c r="J12" s="194"/>
      <c r="K12" s="204"/>
      <c r="L12" s="194"/>
      <c r="M12" s="210"/>
      <c r="N12" s="146"/>
      <c r="O12" s="145"/>
    </row>
    <row r="13" spans="1:15" ht="8.25">
      <c r="A13" s="212" t="str">
        <f>"4.  "&amp;curryr-7</f>
        <v>4.  1995</v>
      </c>
      <c r="B13" s="194"/>
      <c r="C13" s="204"/>
      <c r="D13" s="194"/>
      <c r="E13" s="204"/>
      <c r="F13" s="194"/>
      <c r="G13" s="204"/>
      <c r="H13" s="194"/>
      <c r="I13" s="204"/>
      <c r="J13" s="194"/>
      <c r="K13" s="204"/>
      <c r="L13" s="194"/>
      <c r="M13" s="210"/>
      <c r="N13" s="146"/>
      <c r="O13" s="145"/>
    </row>
    <row r="14" spans="1:15" ht="8.25">
      <c r="A14" s="212" t="str">
        <f>"5.  "&amp;curryr-6</f>
        <v>5.  1996</v>
      </c>
      <c r="B14" s="194"/>
      <c r="C14" s="204"/>
      <c r="D14" s="194"/>
      <c r="E14" s="204"/>
      <c r="F14" s="194"/>
      <c r="G14" s="204"/>
      <c r="H14" s="194"/>
      <c r="I14" s="204"/>
      <c r="J14" s="194"/>
      <c r="K14" s="204"/>
      <c r="L14" s="194"/>
      <c r="M14" s="210"/>
      <c r="N14" s="146"/>
      <c r="O14" s="145"/>
    </row>
    <row r="15" spans="1:15" ht="8.25">
      <c r="A15" s="212" t="str">
        <f>"6.  "&amp;curryr-5</f>
        <v>6.  1997</v>
      </c>
      <c r="B15" s="194"/>
      <c r="C15" s="204"/>
      <c r="D15" s="194"/>
      <c r="E15" s="204"/>
      <c r="F15" s="194"/>
      <c r="G15" s="204"/>
      <c r="H15" s="194"/>
      <c r="I15" s="204"/>
      <c r="J15" s="194"/>
      <c r="K15" s="204"/>
      <c r="L15" s="194"/>
      <c r="M15" s="210"/>
      <c r="N15" s="146"/>
      <c r="O15" s="145"/>
    </row>
    <row r="16" spans="1:15" ht="8.25">
      <c r="A16" s="212" t="str">
        <f>"7.  "&amp;curryr-4</f>
        <v>7.  1998</v>
      </c>
      <c r="B16" s="194"/>
      <c r="C16" s="204"/>
      <c r="D16" s="194"/>
      <c r="E16" s="204"/>
      <c r="F16" s="194"/>
      <c r="G16" s="204"/>
      <c r="H16" s="194"/>
      <c r="I16" s="204"/>
      <c r="J16" s="194"/>
      <c r="K16" s="204"/>
      <c r="L16" s="194"/>
      <c r="M16" s="210"/>
      <c r="N16" s="146"/>
      <c r="O16" s="145"/>
    </row>
    <row r="17" spans="1:15" ht="8.25">
      <c r="A17" s="212" t="str">
        <f>"8.  "&amp;curryr-3</f>
        <v>8.  1999</v>
      </c>
      <c r="B17" s="194"/>
      <c r="C17" s="204"/>
      <c r="D17" s="194"/>
      <c r="E17" s="204"/>
      <c r="F17" s="194"/>
      <c r="G17" s="204"/>
      <c r="H17" s="194"/>
      <c r="I17" s="204"/>
      <c r="J17" s="194"/>
      <c r="K17" s="204"/>
      <c r="L17" s="194"/>
      <c r="M17" s="210"/>
      <c r="N17" s="146"/>
      <c r="O17" s="145"/>
    </row>
    <row r="18" spans="1:15" ht="8.25">
      <c r="A18" s="212" t="str">
        <f>"9.  "&amp;curryr-2</f>
        <v>9.  2000</v>
      </c>
      <c r="B18" s="194"/>
      <c r="C18" s="204"/>
      <c r="D18" s="194"/>
      <c r="E18" s="204"/>
      <c r="F18" s="194"/>
      <c r="G18" s="204"/>
      <c r="H18" s="194"/>
      <c r="I18" s="204"/>
      <c r="J18" s="194"/>
      <c r="K18" s="204"/>
      <c r="L18" s="194"/>
      <c r="M18" s="210"/>
      <c r="N18" s="146"/>
      <c r="O18" s="145"/>
    </row>
    <row r="19" spans="1:15" ht="8.25">
      <c r="A19" s="212" t="str">
        <f>"10.  "&amp;curryr-1</f>
        <v>10.  2001</v>
      </c>
      <c r="B19" s="194"/>
      <c r="C19" s="204"/>
      <c r="D19" s="194"/>
      <c r="E19" s="204"/>
      <c r="F19" s="194"/>
      <c r="G19" s="204"/>
      <c r="H19" s="194"/>
      <c r="I19" s="204"/>
      <c r="J19" s="194"/>
      <c r="K19" s="204"/>
      <c r="L19" s="194"/>
      <c r="M19" s="210"/>
      <c r="N19" s="146"/>
      <c r="O19" s="145"/>
    </row>
    <row r="20" spans="1:15" ht="8.25">
      <c r="A20" s="213" t="str">
        <f>"11.  "&amp;curryr</f>
        <v>11.  2002</v>
      </c>
      <c r="B20" s="194"/>
      <c r="C20" s="204"/>
      <c r="D20" s="194"/>
      <c r="E20" s="204"/>
      <c r="F20" s="194"/>
      <c r="G20" s="204"/>
      <c r="H20" s="194"/>
      <c r="I20" s="204"/>
      <c r="J20" s="194"/>
      <c r="K20" s="204"/>
      <c r="L20" s="194"/>
      <c r="M20" s="210"/>
      <c r="N20" s="146"/>
      <c r="O20" s="145"/>
    </row>
    <row r="21" spans="1:15" ht="8.25">
      <c r="A21" s="214" t="s">
        <v>56</v>
      </c>
      <c r="B21" s="191" t="s">
        <v>30</v>
      </c>
      <c r="C21" s="215" t="s">
        <v>30</v>
      </c>
      <c r="D21" s="191" t="s">
        <v>30</v>
      </c>
      <c r="E21" s="216"/>
      <c r="F21" s="217"/>
      <c r="G21" s="216"/>
      <c r="H21" s="217"/>
      <c r="I21" s="216"/>
      <c r="J21" s="217"/>
      <c r="K21" s="216"/>
      <c r="L21" s="217"/>
      <c r="M21" s="218" t="s">
        <v>30</v>
      </c>
      <c r="N21" s="146"/>
      <c r="O21" s="145"/>
    </row>
    <row r="22" spans="1:15" ht="8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5"/>
      <c r="O22" s="145"/>
    </row>
    <row r="23" spans="1:15" ht="8.25">
      <c r="A23" s="193"/>
      <c r="B23" s="187" t="s">
        <v>59</v>
      </c>
      <c r="C23" s="188"/>
      <c r="D23" s="188"/>
      <c r="E23" s="189"/>
      <c r="F23" s="190" t="s">
        <v>125</v>
      </c>
      <c r="G23" s="188"/>
      <c r="H23" s="188"/>
      <c r="I23" s="189"/>
      <c r="J23" s="198" t="s">
        <v>122</v>
      </c>
      <c r="K23" s="224"/>
      <c r="L23" s="221">
        <v>23</v>
      </c>
      <c r="M23" s="203">
        <v>24</v>
      </c>
      <c r="N23" s="209">
        <v>25</v>
      </c>
      <c r="O23" s="145"/>
    </row>
    <row r="24" spans="1:15" ht="8.25">
      <c r="A24" s="194"/>
      <c r="B24" s="187" t="s">
        <v>61</v>
      </c>
      <c r="C24" s="189"/>
      <c r="D24" s="187" t="s">
        <v>62</v>
      </c>
      <c r="E24" s="189"/>
      <c r="F24" s="197" t="s">
        <v>61</v>
      </c>
      <c r="G24" s="192"/>
      <c r="H24" s="187" t="s">
        <v>62</v>
      </c>
      <c r="I24" s="189"/>
      <c r="J24" s="200" t="s">
        <v>68</v>
      </c>
      <c r="K24" s="225"/>
      <c r="L24" s="220"/>
      <c r="M24" s="194"/>
      <c r="N24" s="226" t="s">
        <v>5</v>
      </c>
      <c r="O24" s="145"/>
    </row>
    <row r="25" spans="1:21" ht="8.25">
      <c r="A25" s="194"/>
      <c r="B25" s="221">
        <v>13</v>
      </c>
      <c r="C25" s="203">
        <v>14</v>
      </c>
      <c r="D25" s="207">
        <v>15</v>
      </c>
      <c r="E25" s="203">
        <v>16</v>
      </c>
      <c r="F25" s="203">
        <v>17</v>
      </c>
      <c r="G25" s="203">
        <v>18</v>
      </c>
      <c r="H25" s="203">
        <v>19</v>
      </c>
      <c r="I25" s="203">
        <v>20</v>
      </c>
      <c r="J25" s="203">
        <v>21</v>
      </c>
      <c r="K25" s="221">
        <v>22</v>
      </c>
      <c r="L25" s="219"/>
      <c r="M25" s="195" t="s">
        <v>8</v>
      </c>
      <c r="N25" s="226" t="s">
        <v>9</v>
      </c>
      <c r="O25" s="175"/>
      <c r="P25" s="7"/>
      <c r="Q25" s="7"/>
      <c r="R25" s="7"/>
      <c r="S25" s="7"/>
      <c r="T25" s="7"/>
      <c r="U25" s="7"/>
    </row>
    <row r="26" spans="1:15" ht="8.25">
      <c r="A26" s="194"/>
      <c r="B26" s="219" t="s">
        <v>11</v>
      </c>
      <c r="C26" s="194"/>
      <c r="D26" s="174" t="s">
        <v>11</v>
      </c>
      <c r="E26" s="194"/>
      <c r="F26" s="195" t="s">
        <v>11</v>
      </c>
      <c r="G26" s="194"/>
      <c r="H26" s="195" t="s">
        <v>11</v>
      </c>
      <c r="I26" s="194"/>
      <c r="J26" s="195" t="s">
        <v>11</v>
      </c>
      <c r="K26" s="220"/>
      <c r="L26" s="219" t="s">
        <v>126</v>
      </c>
      <c r="M26" s="195" t="s">
        <v>64</v>
      </c>
      <c r="N26" s="226" t="s">
        <v>65</v>
      </c>
      <c r="O26" s="145"/>
    </row>
    <row r="27" spans="1:15" ht="8.25">
      <c r="A27" s="194"/>
      <c r="B27" s="219" t="s">
        <v>12</v>
      </c>
      <c r="C27" s="194"/>
      <c r="D27" s="174" t="s">
        <v>12</v>
      </c>
      <c r="E27" s="194"/>
      <c r="F27" s="195" t="s">
        <v>12</v>
      </c>
      <c r="G27" s="194"/>
      <c r="H27" s="195" t="s">
        <v>12</v>
      </c>
      <c r="I27" s="194"/>
      <c r="J27" s="195" t="s">
        <v>12</v>
      </c>
      <c r="K27" s="220"/>
      <c r="L27" s="219" t="s">
        <v>20</v>
      </c>
      <c r="M27" s="195" t="s">
        <v>66</v>
      </c>
      <c r="N27" s="226" t="s">
        <v>22</v>
      </c>
      <c r="O27" s="145"/>
    </row>
    <row r="28" spans="1:15" ht="8.25">
      <c r="A28" s="194"/>
      <c r="B28" s="222" t="s">
        <v>24</v>
      </c>
      <c r="C28" s="196" t="s">
        <v>25</v>
      </c>
      <c r="D28" s="223" t="s">
        <v>24</v>
      </c>
      <c r="E28" s="196" t="s">
        <v>25</v>
      </c>
      <c r="F28" s="196" t="s">
        <v>24</v>
      </c>
      <c r="G28" s="196" t="s">
        <v>25</v>
      </c>
      <c r="H28" s="196" t="s">
        <v>24</v>
      </c>
      <c r="I28" s="196" t="s">
        <v>25</v>
      </c>
      <c r="J28" s="196" t="s">
        <v>24</v>
      </c>
      <c r="K28" s="222" t="s">
        <v>25</v>
      </c>
      <c r="L28" s="219" t="s">
        <v>67</v>
      </c>
      <c r="M28" s="195" t="s">
        <v>68</v>
      </c>
      <c r="N28" s="226" t="s">
        <v>24</v>
      </c>
      <c r="O28" s="145"/>
    </row>
    <row r="29" spans="1:15" ht="8.25">
      <c r="A29" s="211" t="str">
        <f aca="true" t="shared" si="0" ref="A29:A39">A10</f>
        <v>1.  Prior</v>
      </c>
      <c r="B29" s="220"/>
      <c r="C29" s="193"/>
      <c r="D29" s="193"/>
      <c r="E29" s="229"/>
      <c r="F29" s="204"/>
      <c r="G29" s="193"/>
      <c r="H29" s="193"/>
      <c r="I29" s="204"/>
      <c r="J29" s="193"/>
      <c r="K29" s="204"/>
      <c r="L29" s="227"/>
      <c r="M29" s="193"/>
      <c r="N29" s="228"/>
      <c r="O29" s="145"/>
    </row>
    <row r="30" spans="1:15" ht="8.25">
      <c r="A30" s="213" t="str">
        <f t="shared" si="0"/>
        <v>2.  1993</v>
      </c>
      <c r="B30" s="220"/>
      <c r="C30" s="194"/>
      <c r="D30" s="194"/>
      <c r="E30" s="229"/>
      <c r="F30" s="146"/>
      <c r="G30" s="194"/>
      <c r="H30" s="194"/>
      <c r="I30" s="204"/>
      <c r="J30" s="194"/>
      <c r="K30" s="204"/>
      <c r="L30" s="220"/>
      <c r="M30" s="194"/>
      <c r="N30" s="229"/>
      <c r="O30" s="145"/>
    </row>
    <row r="31" spans="1:15" ht="8.25">
      <c r="A31" s="213" t="str">
        <f t="shared" si="0"/>
        <v>3.  1994</v>
      </c>
      <c r="B31" s="220"/>
      <c r="C31" s="194"/>
      <c r="D31" s="194"/>
      <c r="E31" s="229"/>
      <c r="F31" s="146"/>
      <c r="G31" s="194"/>
      <c r="H31" s="194"/>
      <c r="I31" s="204"/>
      <c r="J31" s="194"/>
      <c r="K31" s="204"/>
      <c r="L31" s="220"/>
      <c r="M31" s="194"/>
      <c r="N31" s="229"/>
      <c r="O31" s="145"/>
    </row>
    <row r="32" spans="1:15" ht="8.25">
      <c r="A32" s="213" t="str">
        <f t="shared" si="0"/>
        <v>4.  1995</v>
      </c>
      <c r="B32" s="220"/>
      <c r="C32" s="194"/>
      <c r="D32" s="194"/>
      <c r="E32" s="229"/>
      <c r="F32" s="146"/>
      <c r="G32" s="194"/>
      <c r="H32" s="194"/>
      <c r="I32" s="204"/>
      <c r="J32" s="194"/>
      <c r="K32" s="204"/>
      <c r="L32" s="220"/>
      <c r="M32" s="194"/>
      <c r="N32" s="229"/>
      <c r="O32" s="145"/>
    </row>
    <row r="33" spans="1:15" ht="8.25">
      <c r="A33" s="213" t="str">
        <f t="shared" si="0"/>
        <v>5.  1996</v>
      </c>
      <c r="B33" s="220"/>
      <c r="C33" s="194"/>
      <c r="D33" s="194"/>
      <c r="E33" s="229"/>
      <c r="F33" s="146"/>
      <c r="G33" s="194"/>
      <c r="H33" s="194"/>
      <c r="I33" s="204"/>
      <c r="J33" s="194"/>
      <c r="K33" s="204"/>
      <c r="L33" s="220"/>
      <c r="M33" s="194"/>
      <c r="N33" s="229"/>
      <c r="O33" s="145"/>
    </row>
    <row r="34" spans="1:15" ht="8.25">
      <c r="A34" s="213" t="str">
        <f t="shared" si="0"/>
        <v>6.  1997</v>
      </c>
      <c r="B34" s="220"/>
      <c r="C34" s="194"/>
      <c r="D34" s="194"/>
      <c r="E34" s="229"/>
      <c r="F34" s="146"/>
      <c r="G34" s="194"/>
      <c r="H34" s="194"/>
      <c r="I34" s="204"/>
      <c r="J34" s="194"/>
      <c r="K34" s="204"/>
      <c r="L34" s="220"/>
      <c r="M34" s="194"/>
      <c r="N34" s="229"/>
      <c r="O34" s="145"/>
    </row>
    <row r="35" spans="1:15" ht="8.25">
      <c r="A35" s="213" t="str">
        <f t="shared" si="0"/>
        <v>7.  1998</v>
      </c>
      <c r="B35" s="220"/>
      <c r="C35" s="194"/>
      <c r="D35" s="194"/>
      <c r="E35" s="229"/>
      <c r="F35" s="146"/>
      <c r="G35" s="194"/>
      <c r="H35" s="194"/>
      <c r="I35" s="204"/>
      <c r="J35" s="194"/>
      <c r="K35" s="204"/>
      <c r="L35" s="220"/>
      <c r="M35" s="194"/>
      <c r="N35" s="229"/>
      <c r="O35" s="145"/>
    </row>
    <row r="36" spans="1:15" ht="8.25">
      <c r="A36" s="213" t="str">
        <f t="shared" si="0"/>
        <v>8.  1999</v>
      </c>
      <c r="B36" s="220"/>
      <c r="C36" s="194"/>
      <c r="D36" s="194"/>
      <c r="E36" s="229"/>
      <c r="F36" s="146"/>
      <c r="G36" s="194"/>
      <c r="H36" s="194"/>
      <c r="I36" s="204"/>
      <c r="J36" s="194"/>
      <c r="K36" s="204"/>
      <c r="L36" s="220"/>
      <c r="M36" s="194"/>
      <c r="N36" s="229"/>
      <c r="O36" s="145"/>
    </row>
    <row r="37" spans="1:15" ht="8.25">
      <c r="A37" s="213" t="str">
        <f t="shared" si="0"/>
        <v>9.  2000</v>
      </c>
      <c r="B37" s="220"/>
      <c r="C37" s="194"/>
      <c r="D37" s="194"/>
      <c r="E37" s="229"/>
      <c r="F37" s="146"/>
      <c r="G37" s="194"/>
      <c r="H37" s="194"/>
      <c r="I37" s="204"/>
      <c r="J37" s="194"/>
      <c r="K37" s="204"/>
      <c r="L37" s="220"/>
      <c r="M37" s="194"/>
      <c r="N37" s="229"/>
      <c r="O37" s="145"/>
    </row>
    <row r="38" spans="1:15" ht="8.25">
      <c r="A38" s="213" t="str">
        <f t="shared" si="0"/>
        <v>10.  2001</v>
      </c>
      <c r="B38" s="220"/>
      <c r="C38" s="194"/>
      <c r="D38" s="194"/>
      <c r="E38" s="229"/>
      <c r="F38" s="146"/>
      <c r="G38" s="194"/>
      <c r="H38" s="194"/>
      <c r="I38" s="204"/>
      <c r="J38" s="194"/>
      <c r="K38" s="204"/>
      <c r="L38" s="220"/>
      <c r="M38" s="194"/>
      <c r="N38" s="229"/>
      <c r="O38" s="145"/>
    </row>
    <row r="39" spans="1:15" ht="8.25">
      <c r="A39" s="213" t="str">
        <f t="shared" si="0"/>
        <v>11.  2002</v>
      </c>
      <c r="B39" s="220"/>
      <c r="C39" s="194"/>
      <c r="D39" s="194"/>
      <c r="E39" s="229"/>
      <c r="F39" s="204"/>
      <c r="G39" s="194"/>
      <c r="H39" s="194"/>
      <c r="I39" s="204"/>
      <c r="J39" s="194"/>
      <c r="K39" s="204"/>
      <c r="L39" s="220"/>
      <c r="M39" s="194"/>
      <c r="N39" s="229"/>
      <c r="O39" s="145"/>
    </row>
    <row r="40" spans="1:15" ht="8.25">
      <c r="A40" s="214" t="s">
        <v>56</v>
      </c>
      <c r="B40" s="230"/>
      <c r="C40" s="217"/>
      <c r="D40" s="217"/>
      <c r="E40" s="231"/>
      <c r="F40" s="216"/>
      <c r="G40" s="217"/>
      <c r="H40" s="217"/>
      <c r="I40" s="216"/>
      <c r="J40" s="217"/>
      <c r="K40" s="216"/>
      <c r="L40" s="230"/>
      <c r="M40" s="217"/>
      <c r="N40" s="231"/>
      <c r="O40" s="145"/>
    </row>
    <row r="41" spans="1:15" ht="8.2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5"/>
      <c r="O41" s="145"/>
    </row>
    <row r="42" spans="1:15" ht="8.25">
      <c r="A42" s="148"/>
      <c r="B42" s="153" t="s">
        <v>70</v>
      </c>
      <c r="C42" s="177"/>
      <c r="D42" s="152"/>
      <c r="E42" s="153" t="s">
        <v>71</v>
      </c>
      <c r="F42" s="177"/>
      <c r="G42" s="152"/>
      <c r="H42" s="178"/>
      <c r="I42" s="170"/>
      <c r="J42" s="159">
        <v>34</v>
      </c>
      <c r="K42" s="179" t="s">
        <v>72</v>
      </c>
      <c r="L42" s="152"/>
      <c r="M42" s="146"/>
      <c r="N42" s="145"/>
      <c r="O42" s="145"/>
    </row>
    <row r="43" spans="1:15" ht="8.25">
      <c r="A43" s="158"/>
      <c r="B43" s="156" t="s">
        <v>73</v>
      </c>
      <c r="C43" s="180"/>
      <c r="D43" s="157"/>
      <c r="E43" s="156" t="s">
        <v>74</v>
      </c>
      <c r="F43" s="180"/>
      <c r="G43" s="157"/>
      <c r="H43" s="156" t="s">
        <v>75</v>
      </c>
      <c r="I43" s="157"/>
      <c r="J43" s="162" t="s">
        <v>76</v>
      </c>
      <c r="K43" s="181" t="s">
        <v>77</v>
      </c>
      <c r="L43" s="182"/>
      <c r="M43" s="146"/>
      <c r="N43" s="145"/>
      <c r="O43" s="145"/>
    </row>
    <row r="44" spans="1:15" ht="8.25">
      <c r="A44" s="158"/>
      <c r="B44" s="161">
        <v>26</v>
      </c>
      <c r="C44" s="160">
        <v>27</v>
      </c>
      <c r="D44" s="161">
        <v>28</v>
      </c>
      <c r="E44" s="160">
        <v>29</v>
      </c>
      <c r="F44" s="160">
        <v>30</v>
      </c>
      <c r="G44" s="160">
        <v>31</v>
      </c>
      <c r="H44" s="161">
        <v>32</v>
      </c>
      <c r="I44" s="160">
        <v>33</v>
      </c>
      <c r="J44" s="162" t="s">
        <v>78</v>
      </c>
      <c r="K44" s="160">
        <v>35</v>
      </c>
      <c r="L44" s="168">
        <v>36</v>
      </c>
      <c r="M44" s="183"/>
      <c r="N44" s="175"/>
      <c r="O44" s="175"/>
    </row>
    <row r="45" spans="1:15" ht="8.25">
      <c r="A45" s="158"/>
      <c r="B45" s="162" t="s">
        <v>11</v>
      </c>
      <c r="C45" s="158"/>
      <c r="D45" s="155"/>
      <c r="E45" s="154" t="s">
        <v>11</v>
      </c>
      <c r="F45" s="158"/>
      <c r="G45" s="158"/>
      <c r="H45" s="155"/>
      <c r="I45" s="158"/>
      <c r="J45" s="162" t="s">
        <v>79</v>
      </c>
      <c r="K45" s="158"/>
      <c r="L45" s="163" t="s">
        <v>13</v>
      </c>
      <c r="M45" s="146"/>
      <c r="N45" s="145"/>
      <c r="O45" s="145"/>
    </row>
    <row r="46" spans="1:15" ht="8.25">
      <c r="A46" s="158"/>
      <c r="B46" s="162" t="s">
        <v>12</v>
      </c>
      <c r="C46" s="158"/>
      <c r="D46" s="155"/>
      <c r="E46" s="154" t="s">
        <v>12</v>
      </c>
      <c r="F46" s="158"/>
      <c r="G46" s="158"/>
      <c r="H46" s="155"/>
      <c r="I46" s="154" t="s">
        <v>13</v>
      </c>
      <c r="J46" s="162" t="s">
        <v>80</v>
      </c>
      <c r="K46" s="154" t="s">
        <v>42</v>
      </c>
      <c r="L46" s="163" t="s">
        <v>81</v>
      </c>
      <c r="M46" s="146"/>
      <c r="N46" s="145"/>
      <c r="O46" s="145"/>
    </row>
    <row r="47" spans="1:15" ht="8.25">
      <c r="A47" s="158"/>
      <c r="B47" s="166" t="s">
        <v>24</v>
      </c>
      <c r="C47" s="164" t="s">
        <v>25</v>
      </c>
      <c r="D47" s="166" t="s">
        <v>19</v>
      </c>
      <c r="E47" s="164" t="s">
        <v>24</v>
      </c>
      <c r="F47" s="164" t="s">
        <v>25</v>
      </c>
      <c r="G47" s="164" t="s">
        <v>19</v>
      </c>
      <c r="H47" s="166" t="s">
        <v>13</v>
      </c>
      <c r="I47" s="164" t="s">
        <v>21</v>
      </c>
      <c r="J47" s="166" t="s">
        <v>82</v>
      </c>
      <c r="K47" s="164" t="s">
        <v>68</v>
      </c>
      <c r="L47" s="165" t="s">
        <v>68</v>
      </c>
      <c r="M47" s="146"/>
      <c r="N47" s="145"/>
      <c r="O47" s="145"/>
    </row>
    <row r="48" spans="1:15" ht="8.25">
      <c r="A48" s="167" t="str">
        <f aca="true" t="shared" si="1" ref="A48:A58">A29</f>
        <v>1.  Prior</v>
      </c>
      <c r="B48" s="161" t="s">
        <v>30</v>
      </c>
      <c r="C48" s="160" t="s">
        <v>30</v>
      </c>
      <c r="D48" s="161" t="s">
        <v>30</v>
      </c>
      <c r="E48" s="160" t="s">
        <v>30</v>
      </c>
      <c r="F48" s="161" t="s">
        <v>30</v>
      </c>
      <c r="G48" s="160" t="s">
        <v>30</v>
      </c>
      <c r="H48" s="169"/>
      <c r="I48" s="148"/>
      <c r="J48" s="161" t="s">
        <v>30</v>
      </c>
      <c r="K48" s="148"/>
      <c r="L48" s="148"/>
      <c r="M48" s="146"/>
      <c r="N48" s="145"/>
      <c r="O48" s="145"/>
    </row>
    <row r="49" spans="1:15" ht="8.25">
      <c r="A49" s="176" t="str">
        <f t="shared" si="1"/>
        <v>2.  1993</v>
      </c>
      <c r="B49" s="146"/>
      <c r="C49" s="158"/>
      <c r="D49" s="146"/>
      <c r="E49" s="158"/>
      <c r="F49" s="146"/>
      <c r="G49" s="158"/>
      <c r="H49" s="146"/>
      <c r="I49" s="158"/>
      <c r="J49" s="146"/>
      <c r="K49" s="158"/>
      <c r="L49" s="158"/>
      <c r="M49" s="146"/>
      <c r="N49" s="145"/>
      <c r="O49" s="145"/>
    </row>
    <row r="50" spans="1:15" ht="8.25">
      <c r="A50" s="176" t="str">
        <f t="shared" si="1"/>
        <v>3.  1994</v>
      </c>
      <c r="B50" s="146"/>
      <c r="C50" s="158"/>
      <c r="D50" s="146"/>
      <c r="E50" s="158"/>
      <c r="F50" s="146"/>
      <c r="G50" s="158"/>
      <c r="H50" s="146"/>
      <c r="I50" s="158"/>
      <c r="J50" s="146"/>
      <c r="K50" s="158"/>
      <c r="L50" s="158"/>
      <c r="M50" s="146"/>
      <c r="N50" s="145"/>
      <c r="O50" s="145"/>
    </row>
    <row r="51" spans="1:15" ht="8.25">
      <c r="A51" s="176" t="str">
        <f t="shared" si="1"/>
        <v>4.  1995</v>
      </c>
      <c r="B51" s="146"/>
      <c r="C51" s="158"/>
      <c r="D51" s="146"/>
      <c r="E51" s="158"/>
      <c r="F51" s="146"/>
      <c r="G51" s="158"/>
      <c r="H51" s="146"/>
      <c r="I51" s="158"/>
      <c r="J51" s="146"/>
      <c r="K51" s="158"/>
      <c r="L51" s="158"/>
      <c r="M51" s="146"/>
      <c r="N51" s="145"/>
      <c r="O51" s="145"/>
    </row>
    <row r="52" spans="1:15" ht="8.25">
      <c r="A52" s="176" t="str">
        <f t="shared" si="1"/>
        <v>5.  1996</v>
      </c>
      <c r="B52" s="146"/>
      <c r="C52" s="158"/>
      <c r="D52" s="146"/>
      <c r="E52" s="158"/>
      <c r="F52" s="146"/>
      <c r="G52" s="158"/>
      <c r="H52" s="146"/>
      <c r="I52" s="158"/>
      <c r="J52" s="146"/>
      <c r="K52" s="158"/>
      <c r="L52" s="158"/>
      <c r="M52" s="146"/>
      <c r="N52" s="145"/>
      <c r="O52" s="145"/>
    </row>
    <row r="53" spans="1:15" ht="8.25">
      <c r="A53" s="176" t="str">
        <f t="shared" si="1"/>
        <v>6.  1997</v>
      </c>
      <c r="B53" s="146"/>
      <c r="C53" s="158"/>
      <c r="D53" s="146"/>
      <c r="E53" s="158"/>
      <c r="F53" s="146"/>
      <c r="G53" s="158"/>
      <c r="H53" s="146"/>
      <c r="I53" s="158"/>
      <c r="J53" s="146"/>
      <c r="K53" s="158"/>
      <c r="L53" s="158"/>
      <c r="M53" s="146"/>
      <c r="N53" s="145"/>
      <c r="O53" s="145"/>
    </row>
    <row r="54" spans="1:15" ht="8.25">
      <c r="A54" s="176" t="str">
        <f t="shared" si="1"/>
        <v>7.  1998</v>
      </c>
      <c r="B54" s="146"/>
      <c r="C54" s="158"/>
      <c r="D54" s="146"/>
      <c r="E54" s="158"/>
      <c r="F54" s="146"/>
      <c r="G54" s="158"/>
      <c r="H54" s="146"/>
      <c r="I54" s="158"/>
      <c r="J54" s="146"/>
      <c r="K54" s="158"/>
      <c r="L54" s="158"/>
      <c r="M54" s="146"/>
      <c r="N54" s="145"/>
      <c r="O54" s="145"/>
    </row>
    <row r="55" spans="1:15" ht="8.25">
      <c r="A55" s="176" t="str">
        <f t="shared" si="1"/>
        <v>8.  1999</v>
      </c>
      <c r="B55" s="146"/>
      <c r="C55" s="158"/>
      <c r="D55" s="146"/>
      <c r="E55" s="158"/>
      <c r="F55" s="146"/>
      <c r="G55" s="158"/>
      <c r="H55" s="146"/>
      <c r="I55" s="158"/>
      <c r="J55" s="146"/>
      <c r="K55" s="158"/>
      <c r="L55" s="158"/>
      <c r="M55" s="146"/>
      <c r="N55" s="145"/>
      <c r="O55" s="145"/>
    </row>
    <row r="56" spans="1:15" ht="8.25">
      <c r="A56" s="176" t="str">
        <f t="shared" si="1"/>
        <v>9.  2000</v>
      </c>
      <c r="B56" s="146"/>
      <c r="C56" s="158"/>
      <c r="D56" s="146"/>
      <c r="E56" s="158"/>
      <c r="F56" s="146"/>
      <c r="G56" s="158"/>
      <c r="H56" s="146"/>
      <c r="I56" s="158"/>
      <c r="J56" s="146"/>
      <c r="K56" s="158"/>
      <c r="L56" s="158"/>
      <c r="M56" s="146"/>
      <c r="N56" s="145"/>
      <c r="O56" s="145"/>
    </row>
    <row r="57" spans="1:15" ht="8.25">
      <c r="A57" s="176" t="str">
        <f t="shared" si="1"/>
        <v>10.  2001</v>
      </c>
      <c r="B57" s="146"/>
      <c r="C57" s="158"/>
      <c r="D57" s="146"/>
      <c r="E57" s="158"/>
      <c r="F57" s="146"/>
      <c r="G57" s="158"/>
      <c r="H57" s="146"/>
      <c r="I57" s="158"/>
      <c r="J57" s="146"/>
      <c r="K57" s="158"/>
      <c r="L57" s="158"/>
      <c r="M57" s="146"/>
      <c r="N57" s="145"/>
      <c r="O57" s="145"/>
    </row>
    <row r="58" spans="1:15" ht="8.25">
      <c r="A58" s="171" t="str">
        <f t="shared" si="1"/>
        <v>11.  2002</v>
      </c>
      <c r="B58" s="172"/>
      <c r="C58" s="173"/>
      <c r="D58" s="172"/>
      <c r="E58" s="173"/>
      <c r="F58" s="172"/>
      <c r="G58" s="173"/>
      <c r="H58" s="172"/>
      <c r="I58" s="173"/>
      <c r="J58" s="172"/>
      <c r="K58" s="173"/>
      <c r="L58" s="173"/>
      <c r="M58" s="146"/>
      <c r="N58" s="145"/>
      <c r="O58" s="145"/>
    </row>
    <row r="59" spans="1:15" ht="8.25">
      <c r="A59" s="171" t="s">
        <v>56</v>
      </c>
      <c r="B59" s="150" t="s">
        <v>30</v>
      </c>
      <c r="C59" s="151" t="s">
        <v>30</v>
      </c>
      <c r="D59" s="184" t="s">
        <v>30</v>
      </c>
      <c r="E59" s="151" t="s">
        <v>30</v>
      </c>
      <c r="F59" s="184" t="s">
        <v>30</v>
      </c>
      <c r="G59" s="151" t="s">
        <v>30</v>
      </c>
      <c r="H59" s="185"/>
      <c r="I59" s="186"/>
      <c r="J59" s="184" t="s">
        <v>30</v>
      </c>
      <c r="K59" s="186"/>
      <c r="L59" s="186"/>
      <c r="M59" s="146"/>
      <c r="N59" s="145"/>
      <c r="O59" s="145"/>
    </row>
    <row r="60" spans="1:15" ht="8.2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</row>
    <row r="61" spans="1:15" ht="8.2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</row>
  </sheetData>
  <printOptions/>
  <pageMargins left="1" right="1" top="1.25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9"/>
  <sheetViews>
    <sheetView showGridLines="0" zoomScale="75" zoomScaleNormal="75" workbookViewId="0" topLeftCell="L1">
      <selection activeCell="U37" sqref="U37"/>
    </sheetView>
  </sheetViews>
  <sheetFormatPr defaultColWidth="8.88671875" defaultRowHeight="15.75"/>
  <cols>
    <col min="1" max="1" width="2.6640625" style="9" customWidth="1"/>
    <col min="2" max="2" width="10.6640625" style="9" bestFit="1" customWidth="1"/>
    <col min="3" max="3" width="5.5546875" style="9" bestFit="1" customWidth="1"/>
    <col min="4" max="4" width="7.6640625" style="9" customWidth="1"/>
    <col min="5" max="9" width="5.5546875" style="9" bestFit="1" customWidth="1"/>
    <col min="10" max="10" width="5.99609375" style="9" bestFit="1" customWidth="1"/>
    <col min="11" max="11" width="6.77734375" style="9" bestFit="1" customWidth="1"/>
    <col min="12" max="12" width="6.99609375" style="9" customWidth="1"/>
    <col min="13" max="17" width="7.10546875" style="9" customWidth="1"/>
    <col min="18" max="18" width="6.4453125" style="9" bestFit="1" customWidth="1"/>
    <col min="19" max="19" width="8.77734375" style="9" customWidth="1"/>
    <col min="20" max="21" width="7.10546875" style="9" customWidth="1"/>
    <col min="22" max="23" width="2.4453125" style="9" customWidth="1"/>
    <col min="24" max="24" width="6.4453125" style="9" bestFit="1" customWidth="1"/>
    <col min="25" max="25" width="9.3359375" style="9" customWidth="1"/>
    <col min="26" max="30" width="7.10546875" style="9" customWidth="1"/>
    <col min="31" max="31" width="6.4453125" style="9" bestFit="1" customWidth="1"/>
    <col min="32" max="32" width="6.6640625" style="9" bestFit="1" customWidth="1"/>
    <col min="33" max="33" width="5.3359375" style="9" customWidth="1"/>
    <col min="34" max="34" width="6.99609375" style="9" customWidth="1"/>
    <col min="35" max="35" width="1.66796875" style="9" customWidth="1"/>
    <col min="36" max="36" width="6.6640625" style="9" customWidth="1"/>
    <col min="37" max="37" width="6.10546875" style="9" customWidth="1"/>
    <col min="38" max="38" width="7.4453125" style="9" customWidth="1"/>
    <col min="39" max="39" width="7.10546875" style="9" customWidth="1"/>
    <col min="40" max="40" width="3.4453125" style="9" customWidth="1"/>
    <col min="41" max="41" width="6.5546875" style="9" customWidth="1"/>
    <col min="42" max="42" width="6.6640625" style="9" customWidth="1"/>
    <col min="43" max="43" width="7.4453125" style="9" customWidth="1"/>
    <col min="44" max="61" width="7.10546875" style="9" customWidth="1"/>
    <col min="62" max="62" width="2.4453125" style="9" customWidth="1"/>
    <col min="63" max="16384" width="7.10546875" style="9" customWidth="1"/>
  </cols>
  <sheetData>
    <row r="1" spans="1:13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44" ht="12.7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</row>
    <row r="3" spans="1:66" ht="15">
      <c r="A3" s="232"/>
      <c r="B3" s="232" t="s">
        <v>215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P3" s="18"/>
      <c r="R3" s="232"/>
      <c r="S3" s="240" t="s">
        <v>166</v>
      </c>
      <c r="T3" s="232"/>
      <c r="U3" s="232"/>
      <c r="V3" s="232"/>
      <c r="W3" s="232"/>
      <c r="X3" s="232"/>
      <c r="Y3" s="240" t="s">
        <v>167</v>
      </c>
      <c r="Z3" s="232"/>
      <c r="AA3" s="232"/>
      <c r="AE3" s="232"/>
      <c r="AF3" s="232"/>
      <c r="AG3" s="232"/>
      <c r="AH3" s="232"/>
      <c r="AI3" s="232"/>
      <c r="AJ3" s="240" t="s">
        <v>168</v>
      </c>
      <c r="AK3" s="232"/>
      <c r="AL3" s="232"/>
      <c r="AM3" s="232"/>
      <c r="AN3" s="232"/>
      <c r="AO3" s="240" t="s">
        <v>169</v>
      </c>
      <c r="AP3" s="232"/>
      <c r="AQ3" s="232"/>
      <c r="AR3" s="232"/>
      <c r="BE3" s="232"/>
      <c r="BF3" s="251"/>
      <c r="BG3" s="251" t="s">
        <v>170</v>
      </c>
      <c r="BH3" s="251"/>
      <c r="BI3" s="251"/>
      <c r="BJ3" s="232"/>
      <c r="BK3" s="232"/>
      <c r="BL3" s="232"/>
      <c r="BM3" s="232"/>
      <c r="BN3" s="232"/>
    </row>
    <row r="4" spans="1:66" ht="1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P4" s="18"/>
      <c r="R4" s="232"/>
      <c r="S4" s="240"/>
      <c r="T4" s="232"/>
      <c r="U4" s="232"/>
      <c r="V4" s="232"/>
      <c r="W4" s="232"/>
      <c r="X4" s="232"/>
      <c r="Y4" s="240"/>
      <c r="Z4" s="232"/>
      <c r="AA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BE4" s="233" t="str">
        <f aca="true" t="shared" si="0" ref="BE4:BE15">AE6</f>
        <v>Accident</v>
      </c>
      <c r="BF4" s="233" t="s">
        <v>23</v>
      </c>
      <c r="BG4" s="233" t="s">
        <v>32</v>
      </c>
      <c r="BH4" s="233" t="s">
        <v>23</v>
      </c>
      <c r="BI4" s="233" t="s">
        <v>32</v>
      </c>
      <c r="BJ4" s="232"/>
      <c r="BK4" s="233" t="s">
        <v>83</v>
      </c>
      <c r="BL4" s="233" t="s">
        <v>83</v>
      </c>
      <c r="BM4" s="233" t="s">
        <v>83</v>
      </c>
      <c r="BN4" s="233" t="s">
        <v>83</v>
      </c>
    </row>
    <row r="5" spans="1:66" ht="12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P5" s="18"/>
      <c r="R5" s="232"/>
      <c r="S5" s="233" t="s">
        <v>23</v>
      </c>
      <c r="T5" s="232"/>
      <c r="U5" s="233" t="s">
        <v>33</v>
      </c>
      <c r="V5" s="232"/>
      <c r="W5" s="232"/>
      <c r="X5" s="232"/>
      <c r="Y5" s="233" t="s">
        <v>32</v>
      </c>
      <c r="Z5" s="232"/>
      <c r="AA5" s="233" t="s">
        <v>33</v>
      </c>
      <c r="AE5" s="232"/>
      <c r="AF5" s="232"/>
      <c r="AG5" s="232"/>
      <c r="AH5" s="232"/>
      <c r="AI5" s="232"/>
      <c r="AJ5" s="232"/>
      <c r="AK5" s="232"/>
      <c r="AL5" s="233" t="s">
        <v>23</v>
      </c>
      <c r="AM5" s="233" t="s">
        <v>33</v>
      </c>
      <c r="AN5" s="232"/>
      <c r="AO5" s="232"/>
      <c r="AP5" s="232"/>
      <c r="AQ5" s="233" t="s">
        <v>32</v>
      </c>
      <c r="AR5" s="233" t="s">
        <v>33</v>
      </c>
      <c r="BE5" s="250" t="str">
        <f t="shared" si="0"/>
        <v>Year</v>
      </c>
      <c r="BF5" s="250" t="s">
        <v>173</v>
      </c>
      <c r="BG5" s="250" t="s">
        <v>173</v>
      </c>
      <c r="BH5" s="250" t="s">
        <v>174</v>
      </c>
      <c r="BI5" s="250" t="s">
        <v>174</v>
      </c>
      <c r="BJ5" s="232"/>
      <c r="BK5" s="250" t="s">
        <v>38</v>
      </c>
      <c r="BL5" s="250" t="s">
        <v>175</v>
      </c>
      <c r="BM5" s="250" t="s">
        <v>87</v>
      </c>
      <c r="BN5" s="250" t="s">
        <v>176</v>
      </c>
    </row>
    <row r="6" spans="1:66" ht="12.75">
      <c r="A6" s="232"/>
      <c r="B6" s="233" t="s">
        <v>34</v>
      </c>
      <c r="C6" s="232" t="s">
        <v>177</v>
      </c>
      <c r="D6" s="232" t="s">
        <v>178</v>
      </c>
      <c r="E6" s="232"/>
      <c r="F6" s="232"/>
      <c r="G6" s="232"/>
      <c r="H6" s="232"/>
      <c r="I6" s="232"/>
      <c r="J6" s="232"/>
      <c r="K6" s="232"/>
      <c r="L6" s="232"/>
      <c r="M6" s="232"/>
      <c r="P6" s="18"/>
      <c r="R6" s="233" t="str">
        <f aca="true" t="shared" si="1" ref="R6:R17">X6</f>
        <v>Accident</v>
      </c>
      <c r="S6" s="233" t="s">
        <v>171</v>
      </c>
      <c r="T6" s="233" t="s">
        <v>172</v>
      </c>
      <c r="U6" s="233" t="s">
        <v>38</v>
      </c>
      <c r="V6" s="232"/>
      <c r="W6" s="232"/>
      <c r="X6" s="233" t="str">
        <f>B56</f>
        <v>Accident</v>
      </c>
      <c r="Y6" s="233" t="s">
        <v>171</v>
      </c>
      <c r="Z6" s="233" t="s">
        <v>172</v>
      </c>
      <c r="AA6" s="233" t="s">
        <v>38</v>
      </c>
      <c r="AE6" s="233" t="str">
        <f>B19</f>
        <v>Accident</v>
      </c>
      <c r="AF6" s="233" t="s">
        <v>88</v>
      </c>
      <c r="AG6" s="233"/>
      <c r="AH6" s="233" t="s">
        <v>86</v>
      </c>
      <c r="AI6" s="233"/>
      <c r="AJ6" s="233" t="s">
        <v>87</v>
      </c>
      <c r="AK6" s="233" t="s">
        <v>33</v>
      </c>
      <c r="AL6" s="233" t="s">
        <v>171</v>
      </c>
      <c r="AM6" s="233" t="s">
        <v>38</v>
      </c>
      <c r="AN6" s="232"/>
      <c r="AO6" s="233" t="s">
        <v>175</v>
      </c>
      <c r="AP6" s="233" t="s">
        <v>33</v>
      </c>
      <c r="AQ6" s="233" t="s">
        <v>171</v>
      </c>
      <c r="AR6" s="233" t="s">
        <v>38</v>
      </c>
      <c r="BE6" s="233">
        <f t="shared" si="0"/>
        <v>1993</v>
      </c>
      <c r="BF6" s="243">
        <f aca="true" t="shared" si="2" ref="BF6:BF15">U8</f>
        <v>31083.7</v>
      </c>
      <c r="BG6" s="243">
        <f aca="true" t="shared" si="3" ref="BG6:BG15">AA8</f>
        <v>31083.7</v>
      </c>
      <c r="BH6" s="243">
        <f aca="true" t="shared" si="4" ref="BH6:BH15">AM8</f>
        <v>31083.7</v>
      </c>
      <c r="BI6" s="243">
        <f aca="true" t="shared" si="5" ref="BI6:BI15">AR8</f>
        <v>31083.7</v>
      </c>
      <c r="BJ6" s="232"/>
      <c r="BK6" s="243">
        <f aca="true" t="shared" si="6" ref="BK6:BK15">AVERAGE(BF6:BI6)</f>
        <v>31083.7</v>
      </c>
      <c r="BL6" s="243">
        <f aca="true" t="shared" si="7" ref="BL6:BL15">BK6-AQ8</f>
        <v>0</v>
      </c>
      <c r="BM6" s="243">
        <f aca="true" t="shared" si="8" ref="BM6:BM15">BK6-AL8</f>
        <v>0</v>
      </c>
      <c r="BN6" s="252">
        <f aca="true" t="shared" si="9" ref="BN6:BN15">BK6/AF8</f>
        <v>0.6479172398842725</v>
      </c>
    </row>
    <row r="7" spans="1:66" ht="12.75">
      <c r="A7" s="232"/>
      <c r="B7" s="250" t="s">
        <v>39</v>
      </c>
      <c r="C7" s="250">
        <v>12</v>
      </c>
      <c r="D7" s="250">
        <f>C7+12</f>
        <v>24</v>
      </c>
      <c r="E7" s="250">
        <f>D7+12</f>
        <v>36</v>
      </c>
      <c r="F7" s="250">
        <f>E7+12</f>
        <v>48</v>
      </c>
      <c r="G7" s="250">
        <f>F7+12</f>
        <v>60</v>
      </c>
      <c r="H7" s="250">
        <f>G7+12</f>
        <v>72</v>
      </c>
      <c r="I7" s="250">
        <v>84</v>
      </c>
      <c r="J7" s="250">
        <v>96</v>
      </c>
      <c r="K7" s="250">
        <v>108</v>
      </c>
      <c r="L7" s="250">
        <v>120</v>
      </c>
      <c r="M7" s="232"/>
      <c r="P7" s="18"/>
      <c r="R7" s="250" t="str">
        <f t="shared" si="1"/>
        <v>Year</v>
      </c>
      <c r="S7" s="250" t="str">
        <f>"at "&amp;TEXT(curreval,"m/d/yy")</f>
        <v>at 12/31/02</v>
      </c>
      <c r="T7" s="250" t="s">
        <v>173</v>
      </c>
      <c r="U7" s="250" t="s">
        <v>171</v>
      </c>
      <c r="V7" s="251"/>
      <c r="W7" s="251"/>
      <c r="X7" s="250" t="str">
        <f>B57</f>
        <v>Year</v>
      </c>
      <c r="Y7" s="250" t="str">
        <f>"at "&amp;TEXT(curreval,"m/d/yy")</f>
        <v>at 12/31/02</v>
      </c>
      <c r="Z7" s="250" t="s">
        <v>173</v>
      </c>
      <c r="AA7" s="250" t="s">
        <v>171</v>
      </c>
      <c r="AE7" s="250" t="str">
        <f>B20</f>
        <v>Year</v>
      </c>
      <c r="AF7" s="250" t="s">
        <v>89</v>
      </c>
      <c r="AG7" s="250" t="s">
        <v>69</v>
      </c>
      <c r="AH7" s="250" t="s">
        <v>42</v>
      </c>
      <c r="AI7" s="250"/>
      <c r="AJ7" s="250" t="s">
        <v>41</v>
      </c>
      <c r="AK7" s="250" t="s">
        <v>87</v>
      </c>
      <c r="AL7" s="250" t="str">
        <f>"at "&amp;TEXT(curreval,"m/d/yy")</f>
        <v>at 12/31/02</v>
      </c>
      <c r="AM7" s="250" t="s">
        <v>171</v>
      </c>
      <c r="AN7" s="251"/>
      <c r="AO7" s="250" t="s">
        <v>41</v>
      </c>
      <c r="AP7" s="250" t="s">
        <v>175</v>
      </c>
      <c r="AQ7" s="250" t="str">
        <f>"at "&amp;TEXT(curreval,"m/d/yy")</f>
        <v>at 12/31/02</v>
      </c>
      <c r="AR7" s="250" t="s">
        <v>171</v>
      </c>
      <c r="BE7" s="233">
        <f t="shared" si="0"/>
        <v>1994</v>
      </c>
      <c r="BF7" s="243">
        <f t="shared" si="2"/>
        <v>35468.8</v>
      </c>
      <c r="BG7" s="243">
        <f t="shared" si="3"/>
        <v>35468.8</v>
      </c>
      <c r="BH7" s="243">
        <f t="shared" si="4"/>
        <v>35468.8</v>
      </c>
      <c r="BI7" s="243">
        <f t="shared" si="5"/>
        <v>35468.8</v>
      </c>
      <c r="BJ7" s="232"/>
      <c r="BK7" s="243">
        <f t="shared" si="6"/>
        <v>35468.8</v>
      </c>
      <c r="BL7" s="243">
        <f t="shared" si="7"/>
        <v>0</v>
      </c>
      <c r="BM7" s="243">
        <f t="shared" si="8"/>
        <v>0</v>
      </c>
      <c r="BN7" s="252">
        <f t="shared" si="9"/>
        <v>0.7483390193832061</v>
      </c>
    </row>
    <row r="8" spans="1:66" ht="12.75">
      <c r="A8" s="232"/>
      <c r="B8" s="233">
        <f aca="true" t="shared" si="10" ref="B8:B16">B9-1</f>
        <v>1993</v>
      </c>
      <c r="C8" s="234">
        <v>25585.2</v>
      </c>
      <c r="D8" s="234">
        <v>29718.6</v>
      </c>
      <c r="E8" s="234">
        <v>30644.1</v>
      </c>
      <c r="F8" s="234">
        <v>30983.7</v>
      </c>
      <c r="G8" s="234">
        <v>31083.7</v>
      </c>
      <c r="H8" s="234">
        <v>31083.7</v>
      </c>
      <c r="I8" s="234">
        <v>31083.7</v>
      </c>
      <c r="J8" s="234">
        <v>31083.7</v>
      </c>
      <c r="K8" s="234">
        <v>31083.7</v>
      </c>
      <c r="L8" s="234">
        <v>31083.7</v>
      </c>
      <c r="M8" s="232"/>
      <c r="P8" s="18"/>
      <c r="R8" s="233">
        <f t="shared" si="1"/>
        <v>1993</v>
      </c>
      <c r="S8" s="241">
        <f>L8</f>
        <v>31083.7</v>
      </c>
      <c r="T8" s="238">
        <f>L36</f>
        <v>1</v>
      </c>
      <c r="U8" s="234">
        <f aca="true" t="shared" si="11" ref="U8:U17">T8*S8</f>
        <v>31083.7</v>
      </c>
      <c r="V8" s="232"/>
      <c r="W8" s="232"/>
      <c r="X8" s="233">
        <f aca="true" t="shared" si="12" ref="X8:X17">B45</f>
        <v>1993</v>
      </c>
      <c r="Y8" s="241">
        <f>L45</f>
        <v>31083.7</v>
      </c>
      <c r="Z8" s="238">
        <f>L73</f>
        <v>1</v>
      </c>
      <c r="AA8" s="234">
        <f aca="true" t="shared" si="13" ref="AA8:AA17">Z8*Y8</f>
        <v>31083.7</v>
      </c>
      <c r="AE8" s="233">
        <f aca="true" t="shared" si="14" ref="AE8:AE17">B8</f>
        <v>1993</v>
      </c>
      <c r="AF8" s="234">
        <v>47974.8</v>
      </c>
      <c r="AG8" s="248">
        <v>0.62</v>
      </c>
      <c r="AH8" s="234">
        <f aca="true" t="shared" si="15" ref="AH8:AH17">AF8*AG8</f>
        <v>29744.376</v>
      </c>
      <c r="AI8" s="234"/>
      <c r="AJ8" s="245">
        <f>L37</f>
        <v>0</v>
      </c>
      <c r="AK8" s="246">
        <f aca="true" t="shared" si="16" ref="AK8:AK17">AH8*AJ8</f>
        <v>0</v>
      </c>
      <c r="AL8" s="234">
        <f>L8</f>
        <v>31083.7</v>
      </c>
      <c r="AM8" s="234">
        <f aca="true" t="shared" si="17" ref="AM8:AM17">AK8+AL8</f>
        <v>31083.7</v>
      </c>
      <c r="AN8" s="232"/>
      <c r="AO8" s="245">
        <f>L74</f>
        <v>0</v>
      </c>
      <c r="AP8" s="246">
        <f aca="true" t="shared" si="18" ref="AP8:AP17">AO8*AH8</f>
        <v>0</v>
      </c>
      <c r="AQ8" s="234">
        <f>L45</f>
        <v>31083.7</v>
      </c>
      <c r="AR8" s="234">
        <f aca="true" t="shared" si="19" ref="AR8:AR17">AP8+AQ8</f>
        <v>31083.7</v>
      </c>
      <c r="BE8" s="233">
        <f t="shared" si="0"/>
        <v>1995</v>
      </c>
      <c r="BF8" s="243">
        <f t="shared" si="2"/>
        <v>27977.7</v>
      </c>
      <c r="BG8" s="243">
        <f t="shared" si="3"/>
        <v>27977.7</v>
      </c>
      <c r="BH8" s="243">
        <f t="shared" si="4"/>
        <v>27977.7</v>
      </c>
      <c r="BI8" s="243">
        <f t="shared" si="5"/>
        <v>27977.7</v>
      </c>
      <c r="BJ8" s="232"/>
      <c r="BK8" s="243">
        <f t="shared" si="6"/>
        <v>27977.7</v>
      </c>
      <c r="BL8" s="243">
        <f t="shared" si="7"/>
        <v>0</v>
      </c>
      <c r="BM8" s="243">
        <f t="shared" si="8"/>
        <v>0</v>
      </c>
      <c r="BN8" s="252">
        <f t="shared" si="9"/>
        <v>0.6002690490596156</v>
      </c>
    </row>
    <row r="9" spans="1:66" ht="12.75">
      <c r="A9" s="232"/>
      <c r="B9" s="233">
        <f t="shared" si="10"/>
        <v>1994</v>
      </c>
      <c r="C9" s="234">
        <v>31110.6</v>
      </c>
      <c r="D9" s="234">
        <v>34622.7</v>
      </c>
      <c r="E9" s="234">
        <v>35404.8</v>
      </c>
      <c r="F9" s="234">
        <v>35468.8</v>
      </c>
      <c r="G9" s="234">
        <v>35468.8</v>
      </c>
      <c r="H9" s="234">
        <v>35468.8</v>
      </c>
      <c r="I9" s="234">
        <v>35468.8</v>
      </c>
      <c r="J9" s="234">
        <v>35468.8</v>
      </c>
      <c r="K9" s="234">
        <v>35468.8</v>
      </c>
      <c r="L9" s="234"/>
      <c r="M9" s="232"/>
      <c r="P9" s="18"/>
      <c r="R9" s="233">
        <f t="shared" si="1"/>
        <v>1994</v>
      </c>
      <c r="S9" s="241">
        <f>K9</f>
        <v>35468.8</v>
      </c>
      <c r="T9" s="238">
        <f>K36</f>
        <v>1</v>
      </c>
      <c r="U9" s="234">
        <f t="shared" si="11"/>
        <v>35468.8</v>
      </c>
      <c r="V9" s="232"/>
      <c r="W9" s="232"/>
      <c r="X9" s="233">
        <f t="shared" si="12"/>
        <v>1994</v>
      </c>
      <c r="Y9" s="241">
        <f>K46</f>
        <v>35468.8</v>
      </c>
      <c r="Z9" s="238">
        <f>K73</f>
        <v>1</v>
      </c>
      <c r="AA9" s="234">
        <f t="shared" si="13"/>
        <v>35468.8</v>
      </c>
      <c r="AE9" s="233">
        <f t="shared" si="14"/>
        <v>1994</v>
      </c>
      <c r="AF9" s="234">
        <v>47396.7</v>
      </c>
      <c r="AG9" s="248">
        <v>0.62</v>
      </c>
      <c r="AH9" s="234">
        <f t="shared" si="15"/>
        <v>29385.953999999998</v>
      </c>
      <c r="AI9" s="234"/>
      <c r="AJ9" s="245">
        <f>K37</f>
        <v>0</v>
      </c>
      <c r="AK9" s="246">
        <f t="shared" si="16"/>
        <v>0</v>
      </c>
      <c r="AL9" s="234">
        <f>K9</f>
        <v>35468.8</v>
      </c>
      <c r="AM9" s="234">
        <f t="shared" si="17"/>
        <v>35468.8</v>
      </c>
      <c r="AN9" s="232"/>
      <c r="AO9" s="245">
        <f>K74</f>
        <v>0</v>
      </c>
      <c r="AP9" s="246">
        <f t="shared" si="18"/>
        <v>0</v>
      </c>
      <c r="AQ9" s="234">
        <f>K46</f>
        <v>35468.8</v>
      </c>
      <c r="AR9" s="234">
        <f t="shared" si="19"/>
        <v>35468.8</v>
      </c>
      <c r="BE9" s="233">
        <f t="shared" si="0"/>
        <v>1996</v>
      </c>
      <c r="BF9" s="243">
        <f t="shared" si="2"/>
        <v>36574.5</v>
      </c>
      <c r="BG9" s="243">
        <f t="shared" si="3"/>
        <v>36574.5</v>
      </c>
      <c r="BH9" s="243">
        <f t="shared" si="4"/>
        <v>36574.5</v>
      </c>
      <c r="BI9" s="243">
        <f t="shared" si="5"/>
        <v>36574.5</v>
      </c>
      <c r="BJ9" s="232"/>
      <c r="BK9" s="243">
        <f t="shared" si="6"/>
        <v>36574.5</v>
      </c>
      <c r="BL9" s="243">
        <f t="shared" si="7"/>
        <v>0</v>
      </c>
      <c r="BM9" s="243">
        <f t="shared" si="8"/>
        <v>0</v>
      </c>
      <c r="BN9" s="252">
        <f t="shared" si="9"/>
        <v>0.7228276336384766</v>
      </c>
    </row>
    <row r="10" spans="1:66" ht="12.75">
      <c r="A10" s="232"/>
      <c r="B10" s="233">
        <f t="shared" si="10"/>
        <v>1995</v>
      </c>
      <c r="C10" s="234">
        <v>25213</v>
      </c>
      <c r="D10" s="234">
        <v>27547.5</v>
      </c>
      <c r="E10" s="234">
        <v>27977.7</v>
      </c>
      <c r="F10" s="234">
        <v>27977.7</v>
      </c>
      <c r="G10" s="234">
        <v>27977.7</v>
      </c>
      <c r="H10" s="234">
        <v>27977.7</v>
      </c>
      <c r="I10" s="234">
        <v>27977.7</v>
      </c>
      <c r="J10" s="234">
        <v>27977.7</v>
      </c>
      <c r="K10" s="234"/>
      <c r="L10" s="234"/>
      <c r="M10" s="232"/>
      <c r="P10" s="18"/>
      <c r="R10" s="233">
        <f t="shared" si="1"/>
        <v>1995</v>
      </c>
      <c r="S10" s="241">
        <f>J10</f>
        <v>27977.7</v>
      </c>
      <c r="T10" s="238">
        <f>J36</f>
        <v>1</v>
      </c>
      <c r="U10" s="234">
        <f t="shared" si="11"/>
        <v>27977.7</v>
      </c>
      <c r="V10" s="232"/>
      <c r="W10" s="232"/>
      <c r="X10" s="233">
        <f t="shared" si="12"/>
        <v>1995</v>
      </c>
      <c r="Y10" s="241">
        <f>J47</f>
        <v>27977.7</v>
      </c>
      <c r="Z10" s="238">
        <f>J73</f>
        <v>1</v>
      </c>
      <c r="AA10" s="234">
        <f t="shared" si="13"/>
        <v>27977.7</v>
      </c>
      <c r="AE10" s="233">
        <f t="shared" si="14"/>
        <v>1995</v>
      </c>
      <c r="AF10" s="234">
        <v>46608.6</v>
      </c>
      <c r="AG10" s="248">
        <v>0.62</v>
      </c>
      <c r="AH10" s="234">
        <f t="shared" si="15"/>
        <v>28897.332</v>
      </c>
      <c r="AI10" s="234"/>
      <c r="AJ10" s="245">
        <f>J37</f>
        <v>0</v>
      </c>
      <c r="AK10" s="246">
        <f t="shared" si="16"/>
        <v>0</v>
      </c>
      <c r="AL10" s="234">
        <f>J10</f>
        <v>27977.7</v>
      </c>
      <c r="AM10" s="234">
        <f t="shared" si="17"/>
        <v>27977.7</v>
      </c>
      <c r="AN10" s="232"/>
      <c r="AO10" s="245">
        <f>J74</f>
        <v>0</v>
      </c>
      <c r="AP10" s="246">
        <f t="shared" si="18"/>
        <v>0</v>
      </c>
      <c r="AQ10" s="234">
        <f>J47</f>
        <v>27977.7</v>
      </c>
      <c r="AR10" s="234">
        <f t="shared" si="19"/>
        <v>27977.7</v>
      </c>
      <c r="BE10" s="233">
        <f t="shared" si="0"/>
        <v>1997</v>
      </c>
      <c r="BF10" s="243">
        <f t="shared" si="2"/>
        <v>33348.6</v>
      </c>
      <c r="BG10" s="243">
        <f t="shared" si="3"/>
        <v>33371.21103339338</v>
      </c>
      <c r="BH10" s="243">
        <f t="shared" si="4"/>
        <v>33348.6</v>
      </c>
      <c r="BI10" s="243">
        <f t="shared" si="5"/>
        <v>33375.75338718775</v>
      </c>
      <c r="BJ10" s="232"/>
      <c r="BK10" s="243">
        <f t="shared" si="6"/>
        <v>33361.04110514528</v>
      </c>
      <c r="BL10" s="243">
        <f t="shared" si="7"/>
        <v>12.441105145284382</v>
      </c>
      <c r="BM10" s="243">
        <f t="shared" si="8"/>
        <v>12.441105145284382</v>
      </c>
      <c r="BN10" s="252">
        <f t="shared" si="9"/>
        <v>0.5161259751342919</v>
      </c>
    </row>
    <row r="11" spans="1:66" ht="12.75">
      <c r="A11" s="232"/>
      <c r="B11" s="233">
        <f t="shared" si="10"/>
        <v>1996</v>
      </c>
      <c r="C11" s="234">
        <v>31717.8</v>
      </c>
      <c r="D11" s="234">
        <v>35606.7</v>
      </c>
      <c r="E11" s="234">
        <v>36574.5</v>
      </c>
      <c r="F11" s="234">
        <v>36574.5</v>
      </c>
      <c r="G11" s="234">
        <v>36574.5</v>
      </c>
      <c r="H11" s="234">
        <v>36574.5</v>
      </c>
      <c r="I11" s="234">
        <v>36574.5</v>
      </c>
      <c r="J11" s="234"/>
      <c r="K11" s="234"/>
      <c r="L11" s="234"/>
      <c r="M11" s="232"/>
      <c r="P11" s="18"/>
      <c r="R11" s="233">
        <f t="shared" si="1"/>
        <v>1996</v>
      </c>
      <c r="S11" s="241">
        <f>I11</f>
        <v>36574.5</v>
      </c>
      <c r="T11" s="238">
        <f>I36</f>
        <v>1</v>
      </c>
      <c r="U11" s="234">
        <f t="shared" si="11"/>
        <v>36574.5</v>
      </c>
      <c r="V11" s="232"/>
      <c r="W11" s="232"/>
      <c r="X11" s="233">
        <f t="shared" si="12"/>
        <v>1996</v>
      </c>
      <c r="Y11" s="241">
        <f>I48</f>
        <v>36574.5</v>
      </c>
      <c r="Z11" s="238">
        <f>I73</f>
        <v>1</v>
      </c>
      <c r="AA11" s="234">
        <f t="shared" si="13"/>
        <v>36574.5</v>
      </c>
      <c r="AE11" s="233">
        <f t="shared" si="14"/>
        <v>1996</v>
      </c>
      <c r="AF11" s="234">
        <v>50599.2</v>
      </c>
      <c r="AG11" s="248">
        <v>0.62</v>
      </c>
      <c r="AH11" s="234">
        <f t="shared" si="15"/>
        <v>31371.503999999997</v>
      </c>
      <c r="AI11" s="234"/>
      <c r="AJ11" s="245">
        <f>I37</f>
        <v>0</v>
      </c>
      <c r="AK11" s="246">
        <f t="shared" si="16"/>
        <v>0</v>
      </c>
      <c r="AL11" s="234">
        <f>I11</f>
        <v>36574.5</v>
      </c>
      <c r="AM11" s="234">
        <f t="shared" si="17"/>
        <v>36574.5</v>
      </c>
      <c r="AN11" s="232"/>
      <c r="AO11" s="245">
        <f>I74</f>
        <v>0</v>
      </c>
      <c r="AP11" s="246">
        <f t="shared" si="18"/>
        <v>0</v>
      </c>
      <c r="AQ11" s="234">
        <f>I48</f>
        <v>36574.5</v>
      </c>
      <c r="AR11" s="234">
        <f t="shared" si="19"/>
        <v>36574.5</v>
      </c>
      <c r="BE11" s="233">
        <f t="shared" si="0"/>
        <v>1998</v>
      </c>
      <c r="BF11" s="243">
        <f t="shared" si="2"/>
        <v>44364.6</v>
      </c>
      <c r="BG11" s="243">
        <f t="shared" si="3"/>
        <v>44081.130730038974</v>
      </c>
      <c r="BH11" s="243">
        <f t="shared" si="4"/>
        <v>44364.6</v>
      </c>
      <c r="BI11" s="243">
        <f t="shared" si="5"/>
        <v>44077.10149406784</v>
      </c>
      <c r="BJ11" s="232"/>
      <c r="BK11" s="243">
        <f t="shared" si="6"/>
        <v>44221.85805602671</v>
      </c>
      <c r="BL11" s="243">
        <f t="shared" si="7"/>
        <v>321.05805602670443</v>
      </c>
      <c r="BM11" s="243">
        <f t="shared" si="8"/>
        <v>-142.7419439732912</v>
      </c>
      <c r="BN11" s="252">
        <f t="shared" si="9"/>
        <v>0.6361941886926588</v>
      </c>
    </row>
    <row r="12" spans="1:66" ht="12.75">
      <c r="A12" s="232"/>
      <c r="B12" s="233">
        <f t="shared" si="10"/>
        <v>1997</v>
      </c>
      <c r="C12" s="234">
        <v>28620.3</v>
      </c>
      <c r="D12" s="234">
        <v>32697.3</v>
      </c>
      <c r="E12" s="234">
        <v>33348.6</v>
      </c>
      <c r="F12" s="234">
        <v>33348.6</v>
      </c>
      <c r="G12" s="234">
        <v>33348.6</v>
      </c>
      <c r="H12" s="234">
        <v>33348.6</v>
      </c>
      <c r="I12" s="234"/>
      <c r="J12" s="234"/>
      <c r="K12" s="234"/>
      <c r="L12" s="234"/>
      <c r="M12" s="232"/>
      <c r="P12" s="18"/>
      <c r="R12" s="233">
        <f t="shared" si="1"/>
        <v>1997</v>
      </c>
      <c r="S12" s="241">
        <f>H12</f>
        <v>33348.6</v>
      </c>
      <c r="T12" s="238">
        <f>H36</f>
        <v>1</v>
      </c>
      <c r="U12" s="234">
        <f t="shared" si="11"/>
        <v>33348.6</v>
      </c>
      <c r="V12" s="232"/>
      <c r="W12" s="232"/>
      <c r="X12" s="233">
        <f t="shared" si="12"/>
        <v>1997</v>
      </c>
      <c r="Y12" s="241">
        <f>H49</f>
        <v>33348.6</v>
      </c>
      <c r="Z12" s="238">
        <f>H73</f>
        <v>1.000678020468427</v>
      </c>
      <c r="AA12" s="234">
        <f t="shared" si="13"/>
        <v>33371.21103339338</v>
      </c>
      <c r="AE12" s="233">
        <f t="shared" si="14"/>
        <v>1997</v>
      </c>
      <c r="AF12" s="234">
        <v>64637.4</v>
      </c>
      <c r="AG12" s="248">
        <v>0.62</v>
      </c>
      <c r="AH12" s="234">
        <f t="shared" si="15"/>
        <v>40075.188</v>
      </c>
      <c r="AI12" s="234"/>
      <c r="AJ12" s="245">
        <f>H37</f>
        <v>0</v>
      </c>
      <c r="AK12" s="246">
        <f t="shared" si="16"/>
        <v>0</v>
      </c>
      <c r="AL12" s="234">
        <f>H12</f>
        <v>33348.6</v>
      </c>
      <c r="AM12" s="234">
        <f t="shared" si="17"/>
        <v>33348.6</v>
      </c>
      <c r="AN12" s="232"/>
      <c r="AO12" s="245">
        <f>H74</f>
        <v>0.0006775610681540867</v>
      </c>
      <c r="AP12" s="246">
        <f t="shared" si="18"/>
        <v>27.153387187755836</v>
      </c>
      <c r="AQ12" s="234">
        <f>H49</f>
        <v>33348.6</v>
      </c>
      <c r="AR12" s="234">
        <f t="shared" si="19"/>
        <v>33375.75338718775</v>
      </c>
      <c r="BE12" s="233">
        <f t="shared" si="0"/>
        <v>1999</v>
      </c>
      <c r="BF12" s="243">
        <f t="shared" si="2"/>
        <v>59145.2</v>
      </c>
      <c r="BG12" s="243">
        <f t="shared" si="3"/>
        <v>59398.87180011772</v>
      </c>
      <c r="BH12" s="243">
        <f t="shared" si="4"/>
        <v>59145.2</v>
      </c>
      <c r="BI12" s="243">
        <f t="shared" si="5"/>
        <v>59273.12202496876</v>
      </c>
      <c r="BJ12" s="232"/>
      <c r="BK12" s="243">
        <f t="shared" si="6"/>
        <v>59240.59845627162</v>
      </c>
      <c r="BL12" s="243">
        <f t="shared" si="7"/>
        <v>1137.198456271617</v>
      </c>
      <c r="BM12" s="243">
        <f t="shared" si="8"/>
        <v>95.3984562716214</v>
      </c>
      <c r="BN12" s="252">
        <f t="shared" si="9"/>
        <v>0.6848228247647143</v>
      </c>
    </row>
    <row r="13" spans="1:66" ht="12.75">
      <c r="A13" s="232"/>
      <c r="B13" s="233">
        <f t="shared" si="10"/>
        <v>1998</v>
      </c>
      <c r="C13" s="234">
        <v>38031</v>
      </c>
      <c r="D13" s="234">
        <v>43302.9</v>
      </c>
      <c r="E13" s="234">
        <v>44364.6</v>
      </c>
      <c r="F13" s="234">
        <v>44364.6</v>
      </c>
      <c r="G13" s="234">
        <v>44364.6</v>
      </c>
      <c r="H13" s="234"/>
      <c r="I13" s="234"/>
      <c r="J13" s="234"/>
      <c r="K13" s="234"/>
      <c r="L13" s="234"/>
      <c r="M13" s="232"/>
      <c r="P13" s="18"/>
      <c r="R13" s="233">
        <f t="shared" si="1"/>
        <v>1998</v>
      </c>
      <c r="S13" s="241">
        <f>G13</f>
        <v>44364.6</v>
      </c>
      <c r="T13" s="238">
        <f>G36</f>
        <v>1</v>
      </c>
      <c r="U13" s="234">
        <f t="shared" si="11"/>
        <v>44364.6</v>
      </c>
      <c r="V13" s="232"/>
      <c r="W13" s="232"/>
      <c r="X13" s="233">
        <f t="shared" si="12"/>
        <v>1998</v>
      </c>
      <c r="Y13" s="241">
        <f>G50</f>
        <v>43900.8</v>
      </c>
      <c r="Z13" s="238">
        <f>G73</f>
        <v>1.004107686648967</v>
      </c>
      <c r="AA13" s="234">
        <f t="shared" si="13"/>
        <v>44081.130730038974</v>
      </c>
      <c r="AE13" s="233">
        <f t="shared" si="14"/>
        <v>1998</v>
      </c>
      <c r="AF13" s="234">
        <v>69510</v>
      </c>
      <c r="AG13" s="248">
        <v>0.62</v>
      </c>
      <c r="AH13" s="234">
        <f t="shared" si="15"/>
        <v>43096.2</v>
      </c>
      <c r="AI13" s="234"/>
      <c r="AJ13" s="245">
        <f>G37</f>
        <v>0</v>
      </c>
      <c r="AK13" s="246">
        <f t="shared" si="16"/>
        <v>0</v>
      </c>
      <c r="AL13" s="234">
        <f>G13</f>
        <v>44364.6</v>
      </c>
      <c r="AM13" s="234">
        <f t="shared" si="17"/>
        <v>44364.6</v>
      </c>
      <c r="AN13" s="232"/>
      <c r="AO13" s="245">
        <f>G74</f>
        <v>0.004090882585189415</v>
      </c>
      <c r="AP13" s="246">
        <f t="shared" si="18"/>
        <v>176.30149406784005</v>
      </c>
      <c r="AQ13" s="234">
        <f>G50</f>
        <v>43900.8</v>
      </c>
      <c r="AR13" s="234">
        <f t="shared" si="19"/>
        <v>44077.10149406784</v>
      </c>
      <c r="BE13" s="233">
        <f t="shared" si="0"/>
        <v>2000</v>
      </c>
      <c r="BF13" s="243">
        <f t="shared" si="2"/>
        <v>65455.93758538738</v>
      </c>
      <c r="BG13" s="243">
        <f t="shared" si="3"/>
        <v>66199.75747338145</v>
      </c>
      <c r="BH13" s="243">
        <f t="shared" si="4"/>
        <v>65445.12560178389</v>
      </c>
      <c r="BI13" s="243">
        <f t="shared" si="5"/>
        <v>65823.83227366986</v>
      </c>
      <c r="BJ13" s="232"/>
      <c r="BK13" s="243">
        <f t="shared" si="6"/>
        <v>65731.16323355565</v>
      </c>
      <c r="BL13" s="243">
        <f t="shared" si="7"/>
        <v>2356.1632335556496</v>
      </c>
      <c r="BM13" s="243">
        <f t="shared" si="8"/>
        <v>362.96323355565255</v>
      </c>
      <c r="BN13" s="252">
        <f t="shared" si="9"/>
        <v>0.7101150795346753</v>
      </c>
    </row>
    <row r="14" spans="1:66" ht="12.75">
      <c r="A14" s="232"/>
      <c r="B14" s="233">
        <f t="shared" si="10"/>
        <v>1999</v>
      </c>
      <c r="C14" s="234">
        <v>49831.5</v>
      </c>
      <c r="D14" s="234">
        <v>57378</v>
      </c>
      <c r="E14" s="234">
        <v>58908</v>
      </c>
      <c r="F14" s="234">
        <v>59145.2</v>
      </c>
      <c r="G14" s="234"/>
      <c r="H14" s="234"/>
      <c r="I14" s="234"/>
      <c r="J14" s="234"/>
      <c r="K14" s="234"/>
      <c r="L14" s="234"/>
      <c r="M14" s="232"/>
      <c r="P14" s="18"/>
      <c r="R14" s="233">
        <f t="shared" si="1"/>
        <v>1999</v>
      </c>
      <c r="S14" s="241">
        <f>F14</f>
        <v>59145.2</v>
      </c>
      <c r="T14" s="238">
        <f>F36</f>
        <v>1</v>
      </c>
      <c r="U14" s="234">
        <f t="shared" si="11"/>
        <v>59145.2</v>
      </c>
      <c r="V14" s="232"/>
      <c r="W14" s="232"/>
      <c r="X14" s="233">
        <f t="shared" si="12"/>
        <v>1999</v>
      </c>
      <c r="Y14" s="241">
        <f>F51</f>
        <v>58103.4</v>
      </c>
      <c r="Z14" s="238">
        <f>F73</f>
        <v>1.0222959723547627</v>
      </c>
      <c r="AA14" s="234">
        <f t="shared" si="13"/>
        <v>59398.87180011772</v>
      </c>
      <c r="AE14" s="233">
        <f t="shared" si="14"/>
        <v>1999</v>
      </c>
      <c r="AF14" s="234">
        <v>86505</v>
      </c>
      <c r="AG14" s="248">
        <v>0.62</v>
      </c>
      <c r="AH14" s="234">
        <f t="shared" si="15"/>
        <v>53633.1</v>
      </c>
      <c r="AI14" s="234"/>
      <c r="AJ14" s="245">
        <f>F37</f>
        <v>0</v>
      </c>
      <c r="AK14" s="246">
        <f t="shared" si="16"/>
        <v>0</v>
      </c>
      <c r="AL14" s="234">
        <f>F14</f>
        <v>59145.2</v>
      </c>
      <c r="AM14" s="234">
        <f t="shared" si="17"/>
        <v>59145.2</v>
      </c>
      <c r="AN14" s="232"/>
      <c r="AO14" s="245">
        <f>F74</f>
        <v>0.021809703801733638</v>
      </c>
      <c r="AP14" s="246">
        <f t="shared" si="18"/>
        <v>1169.7220249687603</v>
      </c>
      <c r="AQ14" s="234">
        <f>F51</f>
        <v>58103.4</v>
      </c>
      <c r="AR14" s="234">
        <f t="shared" si="19"/>
        <v>59273.12202496876</v>
      </c>
      <c r="BE14" s="233">
        <f t="shared" si="0"/>
        <v>2001</v>
      </c>
      <c r="BF14" s="243">
        <f t="shared" si="2"/>
        <v>66692.38992482454</v>
      </c>
      <c r="BG14" s="243">
        <f t="shared" si="3"/>
        <v>68216.92239634457</v>
      </c>
      <c r="BH14" s="243">
        <f t="shared" si="4"/>
        <v>66527.8832198185</v>
      </c>
      <c r="BI14" s="243">
        <f t="shared" si="5"/>
        <v>67524.42600001904</v>
      </c>
      <c r="BJ14" s="232"/>
      <c r="BK14" s="243">
        <f t="shared" si="6"/>
        <v>67240.40538525167</v>
      </c>
      <c r="BL14" s="243">
        <f t="shared" si="7"/>
        <v>4985.605385251663</v>
      </c>
      <c r="BM14" s="243">
        <f t="shared" si="8"/>
        <v>2262.6053852516634</v>
      </c>
      <c r="BN14" s="252">
        <f t="shared" si="9"/>
        <v>0.6914344029241994</v>
      </c>
    </row>
    <row r="15" spans="1:66" ht="12.75">
      <c r="A15" s="232"/>
      <c r="B15" s="233">
        <f t="shared" si="10"/>
        <v>2000</v>
      </c>
      <c r="C15" s="234">
        <v>53387.7</v>
      </c>
      <c r="D15" s="234">
        <v>63845.4</v>
      </c>
      <c r="E15" s="234">
        <v>65368.2</v>
      </c>
      <c r="F15" s="234"/>
      <c r="G15" s="234"/>
      <c r="H15" s="234"/>
      <c r="I15" s="234"/>
      <c r="J15" s="234"/>
      <c r="K15" s="234"/>
      <c r="L15" s="234"/>
      <c r="M15" s="232"/>
      <c r="P15" s="18"/>
      <c r="R15" s="233">
        <f t="shared" si="1"/>
        <v>2000</v>
      </c>
      <c r="S15" s="241">
        <f>E15</f>
        <v>65368.2</v>
      </c>
      <c r="T15" s="238">
        <f>E36</f>
        <v>1.001342205925624</v>
      </c>
      <c r="U15" s="234">
        <f t="shared" si="11"/>
        <v>65455.93758538738</v>
      </c>
      <c r="V15" s="232"/>
      <c r="W15" s="232"/>
      <c r="X15" s="233">
        <f t="shared" si="12"/>
        <v>2000</v>
      </c>
      <c r="Y15" s="241">
        <f>E52</f>
        <v>63375</v>
      </c>
      <c r="Z15" s="238">
        <f>E73</f>
        <v>1.0445721100336325</v>
      </c>
      <c r="AA15" s="234">
        <f t="shared" si="13"/>
        <v>66199.75747338145</v>
      </c>
      <c r="AE15" s="233">
        <f t="shared" si="14"/>
        <v>2000</v>
      </c>
      <c r="AF15" s="234">
        <v>92564.1</v>
      </c>
      <c r="AG15" s="248">
        <v>0.62</v>
      </c>
      <c r="AH15" s="234">
        <f t="shared" si="15"/>
        <v>57389.742000000006</v>
      </c>
      <c r="AI15" s="234"/>
      <c r="AJ15" s="245">
        <f>E37</f>
        <v>0.0013404068236426703</v>
      </c>
      <c r="AK15" s="246">
        <f t="shared" si="16"/>
        <v>76.92560178389236</v>
      </c>
      <c r="AL15" s="234">
        <f>E15</f>
        <v>65368.2</v>
      </c>
      <c r="AM15" s="234">
        <f t="shared" si="17"/>
        <v>65445.12560178389</v>
      </c>
      <c r="AN15" s="232"/>
      <c r="AO15" s="245">
        <f>E74</f>
        <v>0.04267020879218897</v>
      </c>
      <c r="AP15" s="246">
        <f t="shared" si="18"/>
        <v>2448.832273669857</v>
      </c>
      <c r="AQ15" s="234">
        <f>E52</f>
        <v>63375</v>
      </c>
      <c r="AR15" s="234">
        <f t="shared" si="19"/>
        <v>65823.83227366986</v>
      </c>
      <c r="BE15" s="233">
        <f t="shared" si="0"/>
        <v>2002</v>
      </c>
      <c r="BF15" s="243">
        <f t="shared" si="2"/>
        <v>57731.35989813699</v>
      </c>
      <c r="BG15" s="243">
        <f t="shared" si="3"/>
        <v>57448.36534759244</v>
      </c>
      <c r="BH15" s="243">
        <f t="shared" si="4"/>
        <v>59283.259206569404</v>
      </c>
      <c r="BI15" s="243">
        <f t="shared" si="5"/>
        <v>60443.160598208764</v>
      </c>
      <c r="BJ15" s="232"/>
      <c r="BK15" s="243">
        <f t="shared" si="6"/>
        <v>58726.536262626905</v>
      </c>
      <c r="BL15" s="243">
        <f t="shared" si="7"/>
        <v>19928.136262626904</v>
      </c>
      <c r="BM15" s="243">
        <f t="shared" si="8"/>
        <v>11014.536262626905</v>
      </c>
      <c r="BN15" s="252">
        <f t="shared" si="9"/>
        <v>0.5461018439359119</v>
      </c>
    </row>
    <row r="16" spans="1:66" ht="12.75">
      <c r="A16" s="232"/>
      <c r="B16" s="233">
        <f t="shared" si="10"/>
        <v>2001</v>
      </c>
      <c r="C16" s="234">
        <v>54633.3</v>
      </c>
      <c r="D16" s="234">
        <v>64977.8</v>
      </c>
      <c r="E16" s="234"/>
      <c r="F16" s="234"/>
      <c r="G16" s="234"/>
      <c r="H16" s="234"/>
      <c r="I16" s="234"/>
      <c r="J16" s="234"/>
      <c r="K16" s="234"/>
      <c r="L16" s="234"/>
      <c r="M16" s="232"/>
      <c r="P16" s="18"/>
      <c r="R16" s="233">
        <f t="shared" si="1"/>
        <v>2001</v>
      </c>
      <c r="S16" s="241">
        <f>D16</f>
        <v>64977.8</v>
      </c>
      <c r="T16" s="238">
        <f>D36</f>
        <v>1.026387318820036</v>
      </c>
      <c r="U16" s="234">
        <f t="shared" si="11"/>
        <v>66692.38992482454</v>
      </c>
      <c r="V16" s="232"/>
      <c r="W16" s="232"/>
      <c r="X16" s="233">
        <f t="shared" si="12"/>
        <v>2001</v>
      </c>
      <c r="Y16" s="241">
        <f>D53</f>
        <v>62254.8</v>
      </c>
      <c r="Z16" s="238">
        <f>D73</f>
        <v>1.0957696819577698</v>
      </c>
      <c r="AA16" s="234">
        <f t="shared" si="13"/>
        <v>68216.92239634457</v>
      </c>
      <c r="AE16" s="233">
        <f t="shared" si="14"/>
        <v>2001</v>
      </c>
      <c r="AF16" s="234">
        <v>97247.7</v>
      </c>
      <c r="AG16" s="248">
        <v>0.62</v>
      </c>
      <c r="AH16" s="234">
        <f t="shared" si="15"/>
        <v>60293.574</v>
      </c>
      <c r="AI16" s="234"/>
      <c r="AJ16" s="245">
        <f>D37</f>
        <v>0.02570892911106082</v>
      </c>
      <c r="AK16" s="246">
        <f t="shared" si="16"/>
        <v>1550.0832198184996</v>
      </c>
      <c r="AL16" s="234">
        <f>D16</f>
        <v>64977.8</v>
      </c>
      <c r="AM16" s="234">
        <f t="shared" si="17"/>
        <v>66527.8832198185</v>
      </c>
      <c r="AN16" s="232"/>
      <c r="AO16" s="245">
        <f>D74</f>
        <v>0.08739946316698755</v>
      </c>
      <c r="AP16" s="246">
        <f t="shared" si="18"/>
        <v>5269.626000019038</v>
      </c>
      <c r="AQ16" s="234">
        <f>D53</f>
        <v>62254.8</v>
      </c>
      <c r="AR16" s="234">
        <f t="shared" si="19"/>
        <v>67524.42600001904</v>
      </c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</row>
    <row r="17" spans="1:66" ht="13.5" thickBot="1">
      <c r="A17" s="232"/>
      <c r="B17" s="233">
        <f>curryr</f>
        <v>2002</v>
      </c>
      <c r="C17" s="234">
        <v>47712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2"/>
      <c r="P17" s="18"/>
      <c r="R17" s="233">
        <f t="shared" si="1"/>
        <v>2002</v>
      </c>
      <c r="S17" s="241">
        <f>C17</f>
        <v>47712</v>
      </c>
      <c r="T17" s="238">
        <f>C36</f>
        <v>1.2099966444109864</v>
      </c>
      <c r="U17" s="234">
        <f t="shared" si="11"/>
        <v>57731.35989813699</v>
      </c>
      <c r="V17" s="232"/>
      <c r="W17" s="232"/>
      <c r="X17" s="233">
        <f t="shared" si="12"/>
        <v>2002</v>
      </c>
      <c r="Y17" s="241">
        <f>C54</f>
        <v>38798.4</v>
      </c>
      <c r="Z17" s="238">
        <f>C73</f>
        <v>1.4806890322176285</v>
      </c>
      <c r="AA17" s="234">
        <f t="shared" si="13"/>
        <v>57448.36534759244</v>
      </c>
      <c r="AE17" s="233">
        <f t="shared" si="14"/>
        <v>2002</v>
      </c>
      <c r="AF17" s="234">
        <v>107537.7</v>
      </c>
      <c r="AG17" s="249">
        <v>0.62</v>
      </c>
      <c r="AH17" s="234">
        <f t="shared" si="15"/>
        <v>66673.374</v>
      </c>
      <c r="AI17" s="234"/>
      <c r="AJ17" s="245">
        <f>C37</f>
        <v>0.17355142708946159</v>
      </c>
      <c r="AK17" s="246">
        <f t="shared" si="16"/>
        <v>11571.259206569403</v>
      </c>
      <c r="AL17" s="234">
        <f>C17</f>
        <v>47712</v>
      </c>
      <c r="AM17" s="234">
        <f t="shared" si="17"/>
        <v>59283.259206569404</v>
      </c>
      <c r="AN17" s="232"/>
      <c r="AO17" s="245">
        <f>C74</f>
        <v>0.3246387470687889</v>
      </c>
      <c r="AP17" s="246">
        <f t="shared" si="18"/>
        <v>21644.760598208766</v>
      </c>
      <c r="AQ17" s="234">
        <f>C54</f>
        <v>38798.4</v>
      </c>
      <c r="AR17" s="234">
        <f t="shared" si="19"/>
        <v>60443.160598208764</v>
      </c>
      <c r="BE17" s="241" t="s">
        <v>8</v>
      </c>
      <c r="BF17" s="243">
        <f>SUM(BF6:BF15)</f>
        <v>457842.78740834893</v>
      </c>
      <c r="BG17" s="243">
        <f>SUM(BG6:BG15)</f>
        <v>459820.9587808686</v>
      </c>
      <c r="BH17" s="243">
        <f>SUM(BH6:BH15)</f>
        <v>459219.3680281718</v>
      </c>
      <c r="BI17" s="243">
        <f>SUM(BI6:BI15)</f>
        <v>461622.0957781221</v>
      </c>
      <c r="BJ17" s="232"/>
      <c r="BK17" s="243">
        <f>SUM(BK6:BK15)</f>
        <v>459626.30249887786</v>
      </c>
      <c r="BL17" s="243">
        <f>SUM(BL6:BL15)</f>
        <v>28740.602498877823</v>
      </c>
      <c r="BM17" s="243">
        <f>SUM(BM6:BM15)</f>
        <v>13605.202498877836</v>
      </c>
      <c r="BN17" s="252">
        <f>BK17/AF19</f>
        <v>0.6468314986364373</v>
      </c>
    </row>
    <row r="18" spans="1:44" ht="12.7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P18" s="18"/>
      <c r="R18" s="232"/>
      <c r="S18" s="233"/>
      <c r="T18" s="232"/>
      <c r="U18" s="232"/>
      <c r="V18" s="232"/>
      <c r="W18" s="232"/>
      <c r="X18" s="232"/>
      <c r="Y18" s="233"/>
      <c r="Z18" s="232"/>
      <c r="AA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</row>
    <row r="19" spans="1:58" ht="12.75">
      <c r="A19" s="232"/>
      <c r="B19" s="233" t="str">
        <f aca="true" t="shared" si="20" ref="B19:B29">B6</f>
        <v>Accident</v>
      </c>
      <c r="C19" s="232"/>
      <c r="D19" s="232" t="s">
        <v>179</v>
      </c>
      <c r="E19" s="232"/>
      <c r="F19" s="232"/>
      <c r="G19" s="232"/>
      <c r="H19" s="232"/>
      <c r="I19" s="232"/>
      <c r="J19" s="232"/>
      <c r="K19" s="232"/>
      <c r="L19" s="232"/>
      <c r="M19" s="232"/>
      <c r="P19" s="18"/>
      <c r="R19" s="241" t="s">
        <v>8</v>
      </c>
      <c r="S19" s="242">
        <f>SUM(S8:S17)</f>
        <v>446021.10000000003</v>
      </c>
      <c r="T19" s="232"/>
      <c r="U19" s="243">
        <f>SUM(U8:U17)</f>
        <v>457842.78740834893</v>
      </c>
      <c r="V19" s="232"/>
      <c r="W19" s="232"/>
      <c r="X19" s="241" t="s">
        <v>8</v>
      </c>
      <c r="Y19" s="242">
        <f>SUM(Y8:Y17)</f>
        <v>430885.70000000007</v>
      </c>
      <c r="Z19" s="232"/>
      <c r="AA19" s="243">
        <f>SUM(AA8:AA17)</f>
        <v>459820.9587808686</v>
      </c>
      <c r="AE19" s="241" t="s">
        <v>8</v>
      </c>
      <c r="AF19" s="243">
        <f>SUM(AF8:AF17)</f>
        <v>710581.1999999998</v>
      </c>
      <c r="AG19" s="241"/>
      <c r="AH19" s="243">
        <f>SUM(AH8:AH17)</f>
        <v>440560.34400000004</v>
      </c>
      <c r="AI19" s="243"/>
      <c r="AJ19" s="241"/>
      <c r="AK19" s="243">
        <f>SUM(AK8:AK17)</f>
        <v>13198.268028171795</v>
      </c>
      <c r="AL19" s="243">
        <f>SUM(AL8:AL17)</f>
        <v>446021.10000000003</v>
      </c>
      <c r="AM19" s="243">
        <f>SUM(AM8:AM17)</f>
        <v>459219.3680281718</v>
      </c>
      <c r="AN19" s="243"/>
      <c r="AO19" s="232"/>
      <c r="AP19" s="243">
        <f>SUM(AP8:AP17)</f>
        <v>30736.395778122016</v>
      </c>
      <c r="AQ19" s="243">
        <f>SUM(AQ8:AQ17)</f>
        <v>430885.70000000007</v>
      </c>
      <c r="AR19" s="243">
        <f>SUM(AR8:AR17)</f>
        <v>461622.0957781221</v>
      </c>
      <c r="BF19" s="25" t="s">
        <v>218</v>
      </c>
    </row>
    <row r="20" spans="1:16" ht="12.75">
      <c r="A20" s="232"/>
      <c r="B20" s="250" t="str">
        <f t="shared" si="20"/>
        <v>Year</v>
      </c>
      <c r="C20" s="250" t="str">
        <f aca="true" t="shared" si="21" ref="C20:K20">C7&amp;" - "&amp;D7</f>
        <v>12 - 24</v>
      </c>
      <c r="D20" s="250" t="str">
        <f t="shared" si="21"/>
        <v>24 - 36</v>
      </c>
      <c r="E20" s="250" t="str">
        <f t="shared" si="21"/>
        <v>36 - 48</v>
      </c>
      <c r="F20" s="250" t="str">
        <f t="shared" si="21"/>
        <v>48 - 60</v>
      </c>
      <c r="G20" s="250" t="str">
        <f t="shared" si="21"/>
        <v>60 - 72</v>
      </c>
      <c r="H20" s="250" t="str">
        <f t="shared" si="21"/>
        <v>72 - 84</v>
      </c>
      <c r="I20" s="250" t="str">
        <f t="shared" si="21"/>
        <v>84 - 96</v>
      </c>
      <c r="J20" s="250" t="str">
        <f t="shared" si="21"/>
        <v>96 - 108</v>
      </c>
      <c r="K20" s="250" t="str">
        <f t="shared" si="21"/>
        <v>108 - 120</v>
      </c>
      <c r="L20" s="250" t="str">
        <f>L7&amp;" - ULT"</f>
        <v>120 - ULT</v>
      </c>
      <c r="M20" s="232"/>
      <c r="P20" s="18"/>
    </row>
    <row r="21" spans="1:16" ht="12.75">
      <c r="A21" s="232"/>
      <c r="B21" s="233">
        <f t="shared" si="20"/>
        <v>1993</v>
      </c>
      <c r="C21" s="235">
        <f aca="true" t="shared" si="22" ref="C21:K21">D8/C8</f>
        <v>1.161554336100558</v>
      </c>
      <c r="D21" s="235">
        <f t="shared" si="22"/>
        <v>1.0311421130201288</v>
      </c>
      <c r="E21" s="235">
        <f t="shared" si="22"/>
        <v>1.0110820680000392</v>
      </c>
      <c r="F21" s="235">
        <f t="shared" si="22"/>
        <v>1.0032275034937725</v>
      </c>
      <c r="G21" s="235">
        <f t="shared" si="22"/>
        <v>1</v>
      </c>
      <c r="H21" s="235">
        <f t="shared" si="22"/>
        <v>1</v>
      </c>
      <c r="I21" s="235">
        <f t="shared" si="22"/>
        <v>1</v>
      </c>
      <c r="J21" s="235">
        <f t="shared" si="22"/>
        <v>1</v>
      </c>
      <c r="K21" s="235">
        <f t="shared" si="22"/>
        <v>1</v>
      </c>
      <c r="L21" s="235"/>
      <c r="M21" s="232"/>
      <c r="P21" s="18"/>
    </row>
    <row r="22" spans="1:33" ht="12.75">
      <c r="A22" s="232"/>
      <c r="B22" s="233">
        <f t="shared" si="20"/>
        <v>1994</v>
      </c>
      <c r="C22" s="235">
        <f aca="true" t="shared" si="23" ref="C22:J22">D9/C9</f>
        <v>1.112890783205724</v>
      </c>
      <c r="D22" s="235">
        <f t="shared" si="23"/>
        <v>1.0225892261435419</v>
      </c>
      <c r="E22" s="235">
        <f t="shared" si="23"/>
        <v>1.0018076644974692</v>
      </c>
      <c r="F22" s="235">
        <f t="shared" si="23"/>
        <v>1</v>
      </c>
      <c r="G22" s="235">
        <f t="shared" si="23"/>
        <v>1</v>
      </c>
      <c r="H22" s="235">
        <f t="shared" si="23"/>
        <v>1</v>
      </c>
      <c r="I22" s="235">
        <f t="shared" si="23"/>
        <v>1</v>
      </c>
      <c r="J22" s="235">
        <f t="shared" si="23"/>
        <v>1</v>
      </c>
      <c r="K22" s="235"/>
      <c r="L22" s="235"/>
      <c r="M22" s="232"/>
      <c r="P22" s="18"/>
      <c r="AG22" s="25" t="s">
        <v>217</v>
      </c>
    </row>
    <row r="23" spans="1:19" ht="12.75">
      <c r="A23" s="232"/>
      <c r="B23" s="233">
        <f t="shared" si="20"/>
        <v>1995</v>
      </c>
      <c r="C23" s="235">
        <f aca="true" t="shared" si="24" ref="C23:H23">D10/C10</f>
        <v>1.0925911236267005</v>
      </c>
      <c r="D23" s="235">
        <f t="shared" si="24"/>
        <v>1.0156166621290499</v>
      </c>
      <c r="E23" s="235">
        <f t="shared" si="24"/>
        <v>1</v>
      </c>
      <c r="F23" s="235">
        <f>G10/F10</f>
        <v>1</v>
      </c>
      <c r="G23" s="235">
        <f t="shared" si="24"/>
        <v>1</v>
      </c>
      <c r="H23" s="235">
        <f t="shared" si="24"/>
        <v>1</v>
      </c>
      <c r="I23" s="235">
        <f>J10/I10</f>
        <v>1</v>
      </c>
      <c r="J23" s="235"/>
      <c r="K23" s="235"/>
      <c r="L23" s="235"/>
      <c r="M23" s="232"/>
      <c r="P23" s="23"/>
      <c r="S23" s="25" t="s">
        <v>214</v>
      </c>
    </row>
    <row r="24" spans="1:13" ht="12.75">
      <c r="A24" s="232"/>
      <c r="B24" s="233">
        <f t="shared" si="20"/>
        <v>1996</v>
      </c>
      <c r="C24" s="235">
        <f aca="true" t="shared" si="25" ref="C24:C29">D11/C11</f>
        <v>1.1226093865274387</v>
      </c>
      <c r="D24" s="235">
        <f>IF(OR(D11=0,E11=""),"",E11/D11)</f>
        <v>1.0271802778690529</v>
      </c>
      <c r="E24" s="235">
        <f>IF(OR(E11=0,F11=""),"",F11/E11)</f>
        <v>1</v>
      </c>
      <c r="F24" s="235">
        <f>IF(OR(F11=0,G11=""),"",G11/F11)</f>
        <v>1</v>
      </c>
      <c r="G24" s="235">
        <f>IF(OR(G11=0,H11=""),"",H11/G11)</f>
        <v>1</v>
      </c>
      <c r="H24" s="235">
        <f>IF(OR(H11=0,I11=""),"",I11/H11)</f>
        <v>1</v>
      </c>
      <c r="I24" s="235"/>
      <c r="J24" s="235"/>
      <c r="K24" s="235"/>
      <c r="L24" s="235"/>
      <c r="M24" s="232"/>
    </row>
    <row r="25" spans="1:61" ht="12.75">
      <c r="A25" s="232"/>
      <c r="B25" s="233">
        <f t="shared" si="20"/>
        <v>1997</v>
      </c>
      <c r="C25" s="235">
        <f t="shared" si="25"/>
        <v>1.142451336988082</v>
      </c>
      <c r="D25" s="235">
        <f aca="true" t="shared" si="26" ref="D25:G29">IF(OR(D12=0,E12=""),"",E12/D12)</f>
        <v>1.0199190758869998</v>
      </c>
      <c r="E25" s="235">
        <f t="shared" si="26"/>
        <v>1</v>
      </c>
      <c r="F25" s="235">
        <f t="shared" si="26"/>
        <v>1</v>
      </c>
      <c r="G25" s="235">
        <f t="shared" si="26"/>
        <v>1</v>
      </c>
      <c r="H25" s="235">
        <f>IF(OR(H12=0,L12=""),"",L12/H12)</f>
      </c>
      <c r="I25" s="235"/>
      <c r="J25" s="235"/>
      <c r="K25" s="235"/>
      <c r="L25" s="235"/>
      <c r="M25" s="232"/>
      <c r="BF25" s="8"/>
      <c r="BG25" s="8" t="s">
        <v>180</v>
      </c>
      <c r="BH25" s="8"/>
      <c r="BI25" s="8"/>
    </row>
    <row r="26" spans="1:66" ht="12.75">
      <c r="A26" s="232"/>
      <c r="B26" s="233">
        <f t="shared" si="20"/>
        <v>1998</v>
      </c>
      <c r="C26" s="235">
        <f t="shared" si="25"/>
        <v>1.1386211248718152</v>
      </c>
      <c r="D26" s="235">
        <f t="shared" si="26"/>
        <v>1.0245179884026243</v>
      </c>
      <c r="E26" s="235">
        <f t="shared" si="26"/>
        <v>1</v>
      </c>
      <c r="F26" s="235">
        <f t="shared" si="26"/>
        <v>1</v>
      </c>
      <c r="G26" s="235">
        <f t="shared" si="26"/>
      </c>
      <c r="H26" s="235">
        <f>IF(OR(H13=0,L13=""),"",L13/H13)</f>
      </c>
      <c r="I26" s="235"/>
      <c r="J26" s="235"/>
      <c r="K26" s="235"/>
      <c r="L26" s="235"/>
      <c r="M26" s="232"/>
      <c r="BE26" s="19" t="str">
        <f>BE4</f>
        <v>Accident</v>
      </c>
      <c r="BF26" s="19" t="s">
        <v>23</v>
      </c>
      <c r="BG26" s="19" t="s">
        <v>32</v>
      </c>
      <c r="BH26" s="19" t="s">
        <v>23</v>
      </c>
      <c r="BI26" s="19" t="s">
        <v>32</v>
      </c>
      <c r="BK26" s="19"/>
      <c r="BL26" s="19"/>
      <c r="BM26" s="19"/>
      <c r="BN26" s="19"/>
    </row>
    <row r="27" spans="1:66" ht="12.75">
      <c r="A27" s="232"/>
      <c r="B27" s="233">
        <f t="shared" si="20"/>
        <v>1999</v>
      </c>
      <c r="C27" s="235">
        <f t="shared" si="25"/>
        <v>1.1514403539929563</v>
      </c>
      <c r="D27" s="235">
        <f t="shared" si="26"/>
        <v>1.0266652724040572</v>
      </c>
      <c r="E27" s="235">
        <f t="shared" si="26"/>
        <v>1.0040266177768724</v>
      </c>
      <c r="F27" s="235">
        <f t="shared" si="26"/>
      </c>
      <c r="G27" s="235">
        <f t="shared" si="26"/>
      </c>
      <c r="H27" s="235">
        <f>IF(OR(H14=0,L14=""),"",L14/H14)</f>
      </c>
      <c r="I27" s="235"/>
      <c r="J27" s="235"/>
      <c r="K27" s="235"/>
      <c r="L27" s="235"/>
      <c r="M27" s="232"/>
      <c r="BE27" s="20" t="str">
        <f>BE5</f>
        <v>Year</v>
      </c>
      <c r="BF27" s="20" t="s">
        <v>173</v>
      </c>
      <c r="BG27" s="20" t="s">
        <v>173</v>
      </c>
      <c r="BH27" s="20" t="s">
        <v>174</v>
      </c>
      <c r="BI27" s="20" t="s">
        <v>174</v>
      </c>
      <c r="BK27" s="20"/>
      <c r="BL27" s="20"/>
      <c r="BM27" s="20"/>
      <c r="BN27" s="20"/>
    </row>
    <row r="28" spans="1:66" ht="12.75">
      <c r="A28" s="232"/>
      <c r="B28" s="233">
        <f t="shared" si="20"/>
        <v>2000</v>
      </c>
      <c r="C28" s="235">
        <f t="shared" si="25"/>
        <v>1.195882197584837</v>
      </c>
      <c r="D28" s="235">
        <f t="shared" si="26"/>
        <v>1.0238513659558872</v>
      </c>
      <c r="E28" s="235">
        <f t="shared" si="26"/>
      </c>
      <c r="F28" s="235">
        <f t="shared" si="26"/>
      </c>
      <c r="G28" s="235">
        <f t="shared" si="26"/>
      </c>
      <c r="H28" s="235">
        <f>IF(OR(H15=0,L15=""),"",L15/H15)</f>
      </c>
      <c r="I28" s="235"/>
      <c r="J28" s="235"/>
      <c r="K28" s="235"/>
      <c r="L28" s="235"/>
      <c r="M28" s="232"/>
      <c r="BE28" s="19">
        <f>BE6</f>
        <v>1993</v>
      </c>
      <c r="BF28" s="14">
        <f>BF6-AQ8</f>
        <v>0</v>
      </c>
      <c r="BG28" s="14">
        <f>BG6-AQ8</f>
        <v>0</v>
      </c>
      <c r="BH28" s="14">
        <f>BH6-AQ8</f>
        <v>0</v>
      </c>
      <c r="BI28" s="14">
        <f>BI6-AQ8</f>
        <v>0</v>
      </c>
      <c r="BK28" s="14"/>
      <c r="BL28" s="14"/>
      <c r="BM28" s="14"/>
      <c r="BN28" s="21"/>
    </row>
    <row r="29" spans="1:66" ht="12.75">
      <c r="A29" s="232"/>
      <c r="B29" s="233">
        <f t="shared" si="20"/>
        <v>2001</v>
      </c>
      <c r="C29" s="235">
        <f t="shared" si="25"/>
        <v>1.1893442277878143</v>
      </c>
      <c r="D29" s="235">
        <f t="shared" si="26"/>
      </c>
      <c r="E29" s="235">
        <f t="shared" si="26"/>
      </c>
      <c r="F29" s="235">
        <f t="shared" si="26"/>
      </c>
      <c r="G29" s="235">
        <f t="shared" si="26"/>
      </c>
      <c r="H29" s="235">
        <f>IF(OR(H16=0,L16=""),"",L16/H16)</f>
      </c>
      <c r="I29" s="235"/>
      <c r="J29" s="235"/>
      <c r="K29" s="235"/>
      <c r="L29" s="235"/>
      <c r="M29" s="232"/>
      <c r="BE29" s="19">
        <f aca="true" t="shared" si="27" ref="BE29:BE37">BE7</f>
        <v>1994</v>
      </c>
      <c r="BF29" s="14">
        <f aca="true" t="shared" si="28" ref="BF29:BF37">BF7-AQ9</f>
        <v>0</v>
      </c>
      <c r="BG29" s="14">
        <f aca="true" t="shared" si="29" ref="BG29:BG37">BG7-AQ9</f>
        <v>0</v>
      </c>
      <c r="BH29" s="14">
        <f aca="true" t="shared" si="30" ref="BH29:BH37">BH7-AQ9</f>
        <v>0</v>
      </c>
      <c r="BI29" s="14">
        <f aca="true" t="shared" si="31" ref="BI29:BI37">BI7-AQ9</f>
        <v>0</v>
      </c>
      <c r="BK29" s="14"/>
      <c r="BL29" s="14"/>
      <c r="BM29" s="14"/>
      <c r="BN29" s="21"/>
    </row>
    <row r="30" spans="1:66" ht="12.75">
      <c r="A30" s="232"/>
      <c r="B30" s="233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BE30" s="19">
        <f t="shared" si="27"/>
        <v>1995</v>
      </c>
      <c r="BF30" s="14">
        <f t="shared" si="28"/>
        <v>0</v>
      </c>
      <c r="BG30" s="14">
        <f t="shared" si="29"/>
        <v>0</v>
      </c>
      <c r="BH30" s="14">
        <f t="shared" si="30"/>
        <v>0</v>
      </c>
      <c r="BI30" s="14">
        <f t="shared" si="31"/>
        <v>0</v>
      </c>
      <c r="BK30" s="14"/>
      <c r="BL30" s="14"/>
      <c r="BM30" s="14"/>
      <c r="BN30" s="21"/>
    </row>
    <row r="31" spans="1:66" ht="12.75">
      <c r="A31" s="232"/>
      <c r="B31" s="236" t="s">
        <v>181</v>
      </c>
      <c r="C31" s="237">
        <f aca="true" t="shared" si="32" ref="C31:K31">AVERAGE(C21:C29)</f>
        <v>1.1452649856317696</v>
      </c>
      <c r="D31" s="237">
        <f t="shared" si="32"/>
        <v>1.0239352477264176</v>
      </c>
      <c r="E31" s="237">
        <f t="shared" si="32"/>
        <v>1.0024166214677686</v>
      </c>
      <c r="F31" s="237">
        <f t="shared" si="32"/>
        <v>1.0005379172489621</v>
      </c>
      <c r="G31" s="237">
        <f t="shared" si="32"/>
        <v>1</v>
      </c>
      <c r="H31" s="237">
        <f t="shared" si="32"/>
        <v>1</v>
      </c>
      <c r="I31" s="237">
        <f t="shared" si="32"/>
        <v>1</v>
      </c>
      <c r="J31" s="237">
        <f t="shared" si="32"/>
        <v>1</v>
      </c>
      <c r="K31" s="237">
        <f t="shared" si="32"/>
        <v>1</v>
      </c>
      <c r="L31" s="232"/>
      <c r="M31" s="232"/>
      <c r="BE31" s="19">
        <f t="shared" si="27"/>
        <v>1996</v>
      </c>
      <c r="BF31" s="14">
        <f t="shared" si="28"/>
        <v>0</v>
      </c>
      <c r="BG31" s="14">
        <f t="shared" si="29"/>
        <v>0</v>
      </c>
      <c r="BH31" s="14">
        <f t="shared" si="30"/>
        <v>0</v>
      </c>
      <c r="BI31" s="14">
        <f t="shared" si="31"/>
        <v>0</v>
      </c>
      <c r="BK31" s="14"/>
      <c r="BL31" s="14"/>
      <c r="BM31" s="14"/>
      <c r="BN31" s="21"/>
    </row>
    <row r="32" spans="1:66" ht="12.75">
      <c r="A32" s="232"/>
      <c r="B32" s="232" t="s">
        <v>182</v>
      </c>
      <c r="C32" s="237">
        <f>AVERAGE(C27:C29)</f>
        <v>1.1788889264552027</v>
      </c>
      <c r="D32" s="237">
        <f>AVERAGE(D26:D28)</f>
        <v>1.0250115422541894</v>
      </c>
      <c r="E32" s="237">
        <f>AVERAGE(E25:E27)</f>
        <v>1.001342205925624</v>
      </c>
      <c r="F32" s="237">
        <f>AVERAGE(F24:F26)</f>
        <v>1</v>
      </c>
      <c r="G32" s="237">
        <f>AVERAGE(G23:G25)</f>
        <v>1</v>
      </c>
      <c r="H32" s="237">
        <f>AVERAGE(H22:H24)</f>
        <v>1</v>
      </c>
      <c r="I32" s="237">
        <f>AVERAGE(I21:I23)</f>
        <v>1</v>
      </c>
      <c r="J32" s="232"/>
      <c r="K32" s="232"/>
      <c r="L32" s="232"/>
      <c r="M32" s="232"/>
      <c r="BE32" s="19">
        <f t="shared" si="27"/>
        <v>1997</v>
      </c>
      <c r="BF32" s="14">
        <f t="shared" si="28"/>
        <v>0</v>
      </c>
      <c r="BG32" s="14">
        <f t="shared" si="29"/>
        <v>22.611033393382968</v>
      </c>
      <c r="BH32" s="14">
        <f t="shared" si="30"/>
        <v>0</v>
      </c>
      <c r="BI32" s="14">
        <f t="shared" si="31"/>
        <v>27.15338718775456</v>
      </c>
      <c r="BK32" s="14"/>
      <c r="BL32" s="14"/>
      <c r="BM32" s="14"/>
      <c r="BN32" s="21"/>
    </row>
    <row r="33" spans="1:66" ht="12.75">
      <c r="A33" s="232"/>
      <c r="B33" s="232" t="s">
        <v>183</v>
      </c>
      <c r="C33" s="237">
        <f>(SUM(C21:C29)-MIN(C21:C29)-MAX(C21:C29))/(COUNT(C21:C29)-2)</f>
        <v>1.1455587927820556</v>
      </c>
      <c r="D33" s="237">
        <f>(SUM(D21:D28)-MIN(D21:D28)-MAX(D21:D28))/(COUNT(D21:D28)-2)</f>
        <v>1.0241205344436937</v>
      </c>
      <c r="E33" s="237">
        <f>(SUM(E21:E27)-MIN(E21:E27)-MAX(E21:E27))/(COUNT(E21:E27)-2)</f>
        <v>1.0011668564548681</v>
      </c>
      <c r="F33" s="237">
        <f>(SUM(F21:F26)-MIN(F21:F26)-MAX(F21:F26))/(COUNT(F21:F26)-2)</f>
        <v>1</v>
      </c>
      <c r="G33" s="237">
        <f>(SUM(G21:G25)-MIN(G21:G25)-MAX(G21:G25))/(COUNT(G21:G25)-2)</f>
        <v>1</v>
      </c>
      <c r="H33" s="237">
        <f>(SUM(H21:H24)-MIN(H21:H24)-MAX(H21:H24))/(COUNT(H21:H24)-2)</f>
        <v>1</v>
      </c>
      <c r="I33" s="232"/>
      <c r="J33" s="232"/>
      <c r="K33" s="232"/>
      <c r="L33" s="232"/>
      <c r="M33" s="232"/>
      <c r="BE33" s="19">
        <f t="shared" si="27"/>
        <v>1998</v>
      </c>
      <c r="BF33" s="14">
        <f t="shared" si="28"/>
        <v>463.79999999999563</v>
      </c>
      <c r="BG33" s="14">
        <f t="shared" si="29"/>
        <v>180.33073003897152</v>
      </c>
      <c r="BH33" s="14">
        <f t="shared" si="30"/>
        <v>463.79999999999563</v>
      </c>
      <c r="BI33" s="14">
        <f t="shared" si="31"/>
        <v>176.3014940678404</v>
      </c>
      <c r="BK33" s="14"/>
      <c r="BL33" s="14"/>
      <c r="BM33" s="14"/>
      <c r="BN33" s="21"/>
    </row>
    <row r="34" spans="1:66" ht="12.75">
      <c r="A34" s="232"/>
      <c r="B34" s="232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2"/>
      <c r="BE34" s="19">
        <f t="shared" si="27"/>
        <v>1999</v>
      </c>
      <c r="BF34" s="14">
        <f t="shared" si="28"/>
        <v>1041.7999999999956</v>
      </c>
      <c r="BG34" s="14">
        <f t="shared" si="29"/>
        <v>1295.471800117717</v>
      </c>
      <c r="BH34" s="14">
        <f t="shared" si="30"/>
        <v>1041.7999999999956</v>
      </c>
      <c r="BI34" s="14">
        <f t="shared" si="31"/>
        <v>1169.7220249687598</v>
      </c>
      <c r="BK34" s="14"/>
      <c r="BL34" s="14"/>
      <c r="BM34" s="14"/>
      <c r="BN34" s="21"/>
    </row>
    <row r="35" spans="1:66" ht="12.75">
      <c r="A35" s="232"/>
      <c r="B35" s="253" t="s">
        <v>83</v>
      </c>
      <c r="C35" s="254">
        <f aca="true" t="shared" si="33" ref="C35:I35">C32</f>
        <v>1.1788889264552027</v>
      </c>
      <c r="D35" s="254">
        <f t="shared" si="33"/>
        <v>1.0250115422541894</v>
      </c>
      <c r="E35" s="254">
        <f t="shared" si="33"/>
        <v>1.001342205925624</v>
      </c>
      <c r="F35" s="254">
        <f t="shared" si="33"/>
        <v>1</v>
      </c>
      <c r="G35" s="254">
        <f>G33</f>
        <v>1</v>
      </c>
      <c r="H35" s="254">
        <f t="shared" si="33"/>
        <v>1</v>
      </c>
      <c r="I35" s="254">
        <f t="shared" si="33"/>
        <v>1</v>
      </c>
      <c r="J35" s="254">
        <f>J31</f>
        <v>1</v>
      </c>
      <c r="K35" s="254">
        <f>K31</f>
        <v>1</v>
      </c>
      <c r="L35" s="254">
        <v>1</v>
      </c>
      <c r="M35" s="232"/>
      <c r="BE35" s="19">
        <f t="shared" si="27"/>
        <v>2000</v>
      </c>
      <c r="BF35" s="14">
        <f t="shared" si="28"/>
        <v>2080.937585387379</v>
      </c>
      <c r="BG35" s="14">
        <f t="shared" si="29"/>
        <v>2824.7574733814545</v>
      </c>
      <c r="BH35" s="14">
        <f t="shared" si="30"/>
        <v>2070.1256017838896</v>
      </c>
      <c r="BI35" s="14">
        <f t="shared" si="31"/>
        <v>2448.832273669861</v>
      </c>
      <c r="BK35" s="14"/>
      <c r="BL35" s="14"/>
      <c r="BM35" s="14"/>
      <c r="BN35" s="21"/>
    </row>
    <row r="36" spans="1:66" ht="12.75">
      <c r="A36" s="232"/>
      <c r="B36" s="232" t="s">
        <v>184</v>
      </c>
      <c r="C36" s="238">
        <f>PRODUCT(C35:$L35)</f>
        <v>1.2099966444109864</v>
      </c>
      <c r="D36" s="238">
        <f>PRODUCT(D35:$L35)</f>
        <v>1.026387318820036</v>
      </c>
      <c r="E36" s="238">
        <f>PRODUCT(E35:$L35)</f>
        <v>1.001342205925624</v>
      </c>
      <c r="F36" s="238">
        <f>PRODUCT(F35:$L35)</f>
        <v>1</v>
      </c>
      <c r="G36" s="238">
        <f>PRODUCT(G35:$L35)</f>
        <v>1</v>
      </c>
      <c r="H36" s="238">
        <f>PRODUCT(H35:$L35)</f>
        <v>1</v>
      </c>
      <c r="I36" s="238">
        <f>PRODUCT(I35:$L35)</f>
        <v>1</v>
      </c>
      <c r="J36" s="238">
        <f>PRODUCT(J35:$L35)</f>
        <v>1</v>
      </c>
      <c r="K36" s="238">
        <f>PRODUCT(K35:$L35)</f>
        <v>1</v>
      </c>
      <c r="L36" s="238">
        <f>L35</f>
        <v>1</v>
      </c>
      <c r="M36" s="232"/>
      <c r="BE36" s="19">
        <f t="shared" si="27"/>
        <v>2001</v>
      </c>
      <c r="BF36" s="14">
        <f t="shared" si="28"/>
        <v>4437.5899248245405</v>
      </c>
      <c r="BG36" s="14">
        <f t="shared" si="29"/>
        <v>5962.122396344566</v>
      </c>
      <c r="BH36" s="14">
        <f t="shared" si="30"/>
        <v>4273.083219818494</v>
      </c>
      <c r="BI36" s="14">
        <f t="shared" si="31"/>
        <v>5269.626000019038</v>
      </c>
      <c r="BK36" s="14"/>
      <c r="BL36" s="14"/>
      <c r="BM36" s="14"/>
      <c r="BN36" s="21"/>
    </row>
    <row r="37" spans="1:66" ht="12.75">
      <c r="A37" s="232"/>
      <c r="B37" s="232" t="s">
        <v>185</v>
      </c>
      <c r="C37" s="239">
        <f aca="true" t="shared" si="34" ref="C37:L37">1-1/C36</f>
        <v>0.17355142708946159</v>
      </c>
      <c r="D37" s="239">
        <f t="shared" si="34"/>
        <v>0.02570892911106082</v>
      </c>
      <c r="E37" s="239">
        <f t="shared" si="34"/>
        <v>0.0013404068236426703</v>
      </c>
      <c r="F37" s="239">
        <f t="shared" si="34"/>
        <v>0</v>
      </c>
      <c r="G37" s="239">
        <f t="shared" si="34"/>
        <v>0</v>
      </c>
      <c r="H37" s="239">
        <f t="shared" si="34"/>
        <v>0</v>
      </c>
      <c r="I37" s="239">
        <f t="shared" si="34"/>
        <v>0</v>
      </c>
      <c r="J37" s="239">
        <f t="shared" si="34"/>
        <v>0</v>
      </c>
      <c r="K37" s="239">
        <f t="shared" si="34"/>
        <v>0</v>
      </c>
      <c r="L37" s="239">
        <f t="shared" si="34"/>
        <v>0</v>
      </c>
      <c r="M37" s="232"/>
      <c r="BE37" s="19">
        <f t="shared" si="27"/>
        <v>2002</v>
      </c>
      <c r="BF37" s="14">
        <f t="shared" si="28"/>
        <v>18932.959898136985</v>
      </c>
      <c r="BG37" s="14">
        <f t="shared" si="29"/>
        <v>18649.965347592435</v>
      </c>
      <c r="BH37" s="14">
        <f t="shared" si="30"/>
        <v>20484.859206569403</v>
      </c>
      <c r="BI37" s="14">
        <f t="shared" si="31"/>
        <v>21644.760598208763</v>
      </c>
      <c r="BK37" s="14"/>
      <c r="BL37" s="14"/>
      <c r="BM37" s="14"/>
      <c r="BN37" s="21"/>
    </row>
    <row r="38" spans="1:13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39" spans="1:66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BE39" s="22" t="s">
        <v>8</v>
      </c>
      <c r="BF39" s="14">
        <f>SUM(BF28:BF37)</f>
        <v>26957.087408348896</v>
      </c>
      <c r="BG39" s="14">
        <f>SUM(BG28:BG37)</f>
        <v>28935.258780868528</v>
      </c>
      <c r="BH39" s="14">
        <f>SUM(BH28:BH37)</f>
        <v>28333.668028171778</v>
      </c>
      <c r="BI39" s="14">
        <f>SUM(BI28:BI37)</f>
        <v>30736.395778122016</v>
      </c>
      <c r="BK39" s="14"/>
      <c r="BL39" s="14"/>
      <c r="BM39" s="14"/>
      <c r="BN39" s="21"/>
    </row>
    <row r="40" spans="1:13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 ht="12.75">
      <c r="A41" s="232"/>
      <c r="B41" s="232" t="s">
        <v>216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1:13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</row>
    <row r="43" spans="1:13" ht="12.75">
      <c r="A43" s="232"/>
      <c r="B43" s="233" t="s">
        <v>34</v>
      </c>
      <c r="C43" s="232" t="s">
        <v>177</v>
      </c>
      <c r="D43" s="232" t="s">
        <v>186</v>
      </c>
      <c r="E43" s="232"/>
      <c r="F43" s="232"/>
      <c r="G43" s="232"/>
      <c r="H43" s="232"/>
      <c r="I43" s="232"/>
      <c r="J43" s="232"/>
      <c r="K43" s="232"/>
      <c r="L43" s="232"/>
      <c r="M43" s="232"/>
    </row>
    <row r="44" spans="1:13" ht="12.75">
      <c r="A44" s="232"/>
      <c r="B44" s="250" t="s">
        <v>39</v>
      </c>
      <c r="C44" s="250">
        <v>12</v>
      </c>
      <c r="D44" s="250">
        <f>C44+12</f>
        <v>24</v>
      </c>
      <c r="E44" s="250">
        <f>D44+12</f>
        <v>36</v>
      </c>
      <c r="F44" s="250">
        <f>E44+12</f>
        <v>48</v>
      </c>
      <c r="G44" s="250">
        <f>F44+12</f>
        <v>60</v>
      </c>
      <c r="H44" s="250">
        <f>G44+12</f>
        <v>72</v>
      </c>
      <c r="I44" s="250">
        <v>84</v>
      </c>
      <c r="J44" s="250">
        <v>96</v>
      </c>
      <c r="K44" s="250">
        <v>108</v>
      </c>
      <c r="L44" s="250">
        <v>120</v>
      </c>
      <c r="M44" s="232"/>
    </row>
    <row r="45" spans="1:13" ht="12.75">
      <c r="A45" s="232"/>
      <c r="B45" s="233">
        <f aca="true" t="shared" si="35" ref="B45:B53">B46-1</f>
        <v>1993</v>
      </c>
      <c r="C45" s="234">
        <v>20586.9</v>
      </c>
      <c r="D45" s="234">
        <v>27069.3</v>
      </c>
      <c r="E45" s="234">
        <v>28954.8</v>
      </c>
      <c r="F45" s="234">
        <v>29704.8</v>
      </c>
      <c r="G45" s="234">
        <v>30499.2</v>
      </c>
      <c r="H45" s="234">
        <v>31002</v>
      </c>
      <c r="I45" s="234">
        <v>31083.7</v>
      </c>
      <c r="J45" s="234">
        <v>31083.7</v>
      </c>
      <c r="K45" s="234">
        <v>31083.7</v>
      </c>
      <c r="L45" s="234">
        <v>31083.7</v>
      </c>
      <c r="M45" s="232"/>
    </row>
    <row r="46" spans="1:13" ht="12.75">
      <c r="A46" s="232"/>
      <c r="B46" s="233">
        <f t="shared" si="35"/>
        <v>1994</v>
      </c>
      <c r="C46" s="234">
        <v>26305.2</v>
      </c>
      <c r="D46" s="234">
        <v>32488.2</v>
      </c>
      <c r="E46" s="234">
        <v>33922.2</v>
      </c>
      <c r="F46" s="234">
        <v>34711.5</v>
      </c>
      <c r="G46" s="234">
        <v>35443.3</v>
      </c>
      <c r="H46" s="234">
        <v>35433.3</v>
      </c>
      <c r="I46" s="234">
        <v>35468.8</v>
      </c>
      <c r="J46" s="234">
        <v>35468.8</v>
      </c>
      <c r="K46" s="234">
        <v>35468.8</v>
      </c>
      <c r="L46" s="234"/>
      <c r="M46" s="232"/>
    </row>
    <row r="47" spans="1:13" ht="12.75">
      <c r="A47" s="232"/>
      <c r="B47" s="233">
        <f t="shared" si="35"/>
        <v>1995</v>
      </c>
      <c r="C47" s="234">
        <v>20630.7</v>
      </c>
      <c r="D47" s="234">
        <v>25239.6</v>
      </c>
      <c r="E47" s="234">
        <v>26168.4</v>
      </c>
      <c r="F47" s="234">
        <v>27302.7</v>
      </c>
      <c r="G47" s="234">
        <v>27942.9</v>
      </c>
      <c r="H47" s="234">
        <v>27942.9</v>
      </c>
      <c r="I47" s="234">
        <v>27977.7</v>
      </c>
      <c r="J47" s="234">
        <v>27977.7</v>
      </c>
      <c r="K47" s="234"/>
      <c r="L47" s="234"/>
      <c r="M47" s="232"/>
    </row>
    <row r="48" spans="1:13" ht="12.75">
      <c r="A48" s="232"/>
      <c r="B48" s="233">
        <f t="shared" si="35"/>
        <v>1996</v>
      </c>
      <c r="C48" s="234">
        <v>26004.3</v>
      </c>
      <c r="D48" s="234">
        <v>32604</v>
      </c>
      <c r="E48" s="234">
        <v>34345.5</v>
      </c>
      <c r="F48" s="234">
        <v>35413.5</v>
      </c>
      <c r="G48" s="234">
        <v>36239.7</v>
      </c>
      <c r="H48" s="234">
        <v>36582.3</v>
      </c>
      <c r="I48" s="234">
        <v>36574.5</v>
      </c>
      <c r="J48" s="234"/>
      <c r="K48" s="234"/>
      <c r="L48" s="234"/>
      <c r="M48" s="232"/>
    </row>
    <row r="49" spans="1:13" ht="12.75">
      <c r="A49" s="232"/>
      <c r="B49" s="233">
        <f t="shared" si="35"/>
        <v>1997</v>
      </c>
      <c r="C49" s="234">
        <v>24241.8</v>
      </c>
      <c r="D49" s="234">
        <v>30435.6</v>
      </c>
      <c r="E49" s="234">
        <v>31823.1</v>
      </c>
      <c r="F49" s="234">
        <v>32624.4</v>
      </c>
      <c r="G49" s="234">
        <v>33321</v>
      </c>
      <c r="H49" s="234">
        <v>33348.6</v>
      </c>
      <c r="I49" s="234"/>
      <c r="J49" s="234"/>
      <c r="K49" s="234"/>
      <c r="L49" s="234"/>
      <c r="M49" s="232"/>
    </row>
    <row r="50" spans="1:13" ht="12.75">
      <c r="A50" s="232"/>
      <c r="B50" s="233">
        <f t="shared" si="35"/>
        <v>1998</v>
      </c>
      <c r="C50" s="234">
        <v>31154.7</v>
      </c>
      <c r="D50" s="234">
        <v>40503.3</v>
      </c>
      <c r="E50" s="234">
        <v>42626.4</v>
      </c>
      <c r="F50" s="234">
        <v>43480.8</v>
      </c>
      <c r="G50" s="234">
        <v>43900.8</v>
      </c>
      <c r="H50" s="234"/>
      <c r="I50" s="234"/>
      <c r="J50" s="234"/>
      <c r="K50" s="234"/>
      <c r="L50" s="234"/>
      <c r="M50" s="232"/>
    </row>
    <row r="51" spans="1:13" ht="12.75">
      <c r="A51" s="232"/>
      <c r="B51" s="233">
        <f t="shared" si="35"/>
        <v>1999</v>
      </c>
      <c r="C51" s="234">
        <v>41567.4</v>
      </c>
      <c r="D51" s="234">
        <v>54396</v>
      </c>
      <c r="E51" s="234">
        <v>56955.9</v>
      </c>
      <c r="F51" s="234">
        <v>58103.4</v>
      </c>
      <c r="G51" s="234"/>
      <c r="H51" s="234"/>
      <c r="I51" s="234"/>
      <c r="J51" s="234"/>
      <c r="K51" s="234"/>
      <c r="L51" s="234"/>
      <c r="M51" s="232"/>
    </row>
    <row r="52" spans="1:13" ht="12.75">
      <c r="A52" s="232"/>
      <c r="B52" s="233">
        <f t="shared" si="35"/>
        <v>2000</v>
      </c>
      <c r="C52" s="234">
        <v>44345.1</v>
      </c>
      <c r="D52" s="234">
        <v>60497.7</v>
      </c>
      <c r="E52" s="234">
        <v>63375</v>
      </c>
      <c r="F52" s="234"/>
      <c r="G52" s="234"/>
      <c r="H52" s="234"/>
      <c r="I52" s="234"/>
      <c r="J52" s="234"/>
      <c r="K52" s="234"/>
      <c r="L52" s="234"/>
      <c r="M52" s="232"/>
    </row>
    <row r="53" spans="1:13" ht="12.75">
      <c r="A53" s="232"/>
      <c r="B53" s="233">
        <f t="shared" si="35"/>
        <v>2001</v>
      </c>
      <c r="C53" s="234">
        <v>45080.7</v>
      </c>
      <c r="D53" s="234">
        <v>62254.8</v>
      </c>
      <c r="E53" s="234"/>
      <c r="F53" s="234"/>
      <c r="G53" s="234"/>
      <c r="H53" s="234"/>
      <c r="I53" s="234"/>
      <c r="J53" s="234"/>
      <c r="K53" s="234"/>
      <c r="L53" s="234"/>
      <c r="M53" s="232"/>
    </row>
    <row r="54" spans="1:13" ht="12.75">
      <c r="A54" s="232"/>
      <c r="B54" s="233">
        <f>curryr</f>
        <v>2002</v>
      </c>
      <c r="C54" s="234">
        <v>38798.4</v>
      </c>
      <c r="D54" s="234"/>
      <c r="E54" s="234"/>
      <c r="F54" s="234"/>
      <c r="G54" s="234"/>
      <c r="H54" s="234"/>
      <c r="I54" s="234"/>
      <c r="J54" s="234"/>
      <c r="K54" s="234"/>
      <c r="L54" s="234"/>
      <c r="M54" s="232"/>
    </row>
    <row r="55" spans="1:13" ht="12.75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32"/>
      <c r="B56" s="233" t="str">
        <f aca="true" t="shared" si="36" ref="B56:B66">B43</f>
        <v>Accident</v>
      </c>
      <c r="C56" s="232"/>
      <c r="D56" s="232" t="s">
        <v>187</v>
      </c>
      <c r="E56" s="232"/>
      <c r="F56" s="232"/>
      <c r="G56" s="232"/>
      <c r="H56" s="232"/>
      <c r="I56" s="232"/>
      <c r="J56" s="232"/>
      <c r="K56" s="232"/>
      <c r="L56" s="232"/>
      <c r="M56" s="232"/>
    </row>
    <row r="57" spans="1:13" ht="12.75">
      <c r="A57" s="232"/>
      <c r="B57" s="250" t="str">
        <f t="shared" si="36"/>
        <v>Year</v>
      </c>
      <c r="C57" s="250" t="str">
        <f aca="true" t="shared" si="37" ref="C57:K57">C44&amp;" - "&amp;D44</f>
        <v>12 - 24</v>
      </c>
      <c r="D57" s="250" t="str">
        <f t="shared" si="37"/>
        <v>24 - 36</v>
      </c>
      <c r="E57" s="250" t="str">
        <f t="shared" si="37"/>
        <v>36 - 48</v>
      </c>
      <c r="F57" s="250" t="str">
        <f t="shared" si="37"/>
        <v>48 - 60</v>
      </c>
      <c r="G57" s="250" t="str">
        <f t="shared" si="37"/>
        <v>60 - 72</v>
      </c>
      <c r="H57" s="250" t="str">
        <f t="shared" si="37"/>
        <v>72 - 84</v>
      </c>
      <c r="I57" s="250" t="str">
        <f t="shared" si="37"/>
        <v>84 - 96</v>
      </c>
      <c r="J57" s="250" t="str">
        <f t="shared" si="37"/>
        <v>96 - 108</v>
      </c>
      <c r="K57" s="250" t="str">
        <f t="shared" si="37"/>
        <v>108 - 120</v>
      </c>
      <c r="L57" s="250" t="str">
        <f>L44&amp;" - ULT"</f>
        <v>120 - ULT</v>
      </c>
      <c r="M57" s="232"/>
    </row>
    <row r="58" spans="1:13" ht="12.75">
      <c r="A58" s="232"/>
      <c r="B58" s="233">
        <f t="shared" si="36"/>
        <v>1993</v>
      </c>
      <c r="C58" s="235">
        <f aca="true" t="shared" si="38" ref="C58:K58">D45/C45</f>
        <v>1.3148798507788932</v>
      </c>
      <c r="D58" s="235">
        <f t="shared" si="38"/>
        <v>1.069654553313163</v>
      </c>
      <c r="E58" s="235">
        <f t="shared" si="38"/>
        <v>1.0259024410460442</v>
      </c>
      <c r="F58" s="235">
        <f>G45/F45</f>
        <v>1.0267431526217985</v>
      </c>
      <c r="G58" s="235">
        <f t="shared" si="38"/>
        <v>1.0164856783128737</v>
      </c>
      <c r="H58" s="235">
        <f t="shared" si="38"/>
        <v>1.0026353138507194</v>
      </c>
      <c r="I58" s="235">
        <f t="shared" si="38"/>
        <v>1</v>
      </c>
      <c r="J58" s="235">
        <f t="shared" si="38"/>
        <v>1</v>
      </c>
      <c r="K58" s="235">
        <f t="shared" si="38"/>
        <v>1</v>
      </c>
      <c r="L58" s="235"/>
      <c r="M58" s="232"/>
    </row>
    <row r="59" spans="1:13" ht="12.75">
      <c r="A59" s="232"/>
      <c r="B59" s="233">
        <f t="shared" si="36"/>
        <v>1994</v>
      </c>
      <c r="C59" s="235">
        <f aca="true" t="shared" si="39" ref="C59:J59">D46/C46</f>
        <v>1.2350485835500205</v>
      </c>
      <c r="D59" s="235">
        <f t="shared" si="39"/>
        <v>1.0441391028127134</v>
      </c>
      <c r="E59" s="235">
        <f t="shared" si="39"/>
        <v>1.0232679484231566</v>
      </c>
      <c r="F59" s="235">
        <f t="shared" si="39"/>
        <v>1.021082350229751</v>
      </c>
      <c r="G59" s="235">
        <f t="shared" si="39"/>
        <v>0.9997178592286836</v>
      </c>
      <c r="H59" s="235">
        <f t="shared" si="39"/>
        <v>1.0010018824100493</v>
      </c>
      <c r="I59" s="235">
        <f t="shared" si="39"/>
        <v>1</v>
      </c>
      <c r="J59" s="235">
        <f t="shared" si="39"/>
        <v>1</v>
      </c>
      <c r="K59" s="235"/>
      <c r="L59" s="235"/>
      <c r="M59" s="232"/>
    </row>
    <row r="60" spans="1:13" ht="12.75">
      <c r="A60" s="232"/>
      <c r="B60" s="233">
        <f t="shared" si="36"/>
        <v>1995</v>
      </c>
      <c r="C60" s="235">
        <f aca="true" t="shared" si="40" ref="C60:I60">D47/C47</f>
        <v>1.2234000785237533</v>
      </c>
      <c r="D60" s="235">
        <f t="shared" si="40"/>
        <v>1.0367993153615749</v>
      </c>
      <c r="E60" s="235">
        <f t="shared" si="40"/>
        <v>1.0433461732471225</v>
      </c>
      <c r="F60" s="235">
        <f t="shared" si="40"/>
        <v>1.023448230394796</v>
      </c>
      <c r="G60" s="235">
        <f t="shared" si="40"/>
        <v>1</v>
      </c>
      <c r="H60" s="235">
        <f>I47/H47</f>
        <v>1.0012453968628883</v>
      </c>
      <c r="I60" s="235">
        <f t="shared" si="40"/>
        <v>1</v>
      </c>
      <c r="J60" s="235"/>
      <c r="K60" s="235"/>
      <c r="L60" s="235"/>
      <c r="M60" s="232"/>
    </row>
    <row r="61" spans="1:13" ht="12.75">
      <c r="A61" s="232"/>
      <c r="B61" s="233">
        <f t="shared" si="36"/>
        <v>1996</v>
      </c>
      <c r="C61" s="235">
        <f aca="true" t="shared" si="41" ref="C61:C66">D48/C48</f>
        <v>1.2537926419861332</v>
      </c>
      <c r="D61" s="235">
        <f>IF(OR(D48=0,E48=""),"",E48/D48)</f>
        <v>1.0534136915715864</v>
      </c>
      <c r="E61" s="235">
        <f>IF(OR(E48=0,F48=""),"",F48/E48)</f>
        <v>1.0310957767393107</v>
      </c>
      <c r="F61" s="235">
        <f>IF(OR(F48=0,G48=""),"",G48/F48)</f>
        <v>1.0233300859841585</v>
      </c>
      <c r="G61" s="235">
        <f>IF(OR(G48=0,H48=""),"",H48/G48)</f>
        <v>1.009453720643383</v>
      </c>
      <c r="H61" s="235">
        <f>IF(OR(H48=0,I48=""),"",I48/H48)</f>
        <v>0.9997867821323426</v>
      </c>
      <c r="I61" s="235"/>
      <c r="J61" s="235"/>
      <c r="K61" s="235"/>
      <c r="L61" s="235"/>
      <c r="M61" s="232"/>
    </row>
    <row r="62" spans="1:13" ht="12.75">
      <c r="A62" s="232"/>
      <c r="B62" s="233">
        <f t="shared" si="36"/>
        <v>1997</v>
      </c>
      <c r="C62" s="235">
        <f t="shared" si="41"/>
        <v>1.2555008291463505</v>
      </c>
      <c r="D62" s="235">
        <f aca="true" t="shared" si="42" ref="D62:G66">IF(OR(D49=0,E49=""),"",E49/D49)</f>
        <v>1.0455880613492095</v>
      </c>
      <c r="E62" s="235">
        <f t="shared" si="42"/>
        <v>1.0251798222046251</v>
      </c>
      <c r="F62" s="235">
        <f t="shared" si="42"/>
        <v>1.0213521168205393</v>
      </c>
      <c r="G62" s="235">
        <f t="shared" si="42"/>
        <v>1.0008283064733952</v>
      </c>
      <c r="H62" s="235">
        <f>IF(OR(H49=0,L49=""),"",L49/H49)</f>
      </c>
      <c r="I62" s="235"/>
      <c r="J62" s="235"/>
      <c r="K62" s="235"/>
      <c r="L62" s="235"/>
      <c r="M62" s="232"/>
    </row>
    <row r="63" spans="1:13" ht="12.75">
      <c r="A63" s="232"/>
      <c r="B63" s="233">
        <f t="shared" si="36"/>
        <v>1998</v>
      </c>
      <c r="C63" s="235">
        <f t="shared" si="41"/>
        <v>1.30007029436971</v>
      </c>
      <c r="D63" s="235">
        <f t="shared" si="42"/>
        <v>1.0524179511299079</v>
      </c>
      <c r="E63" s="235">
        <f t="shared" si="42"/>
        <v>1.0200439164461461</v>
      </c>
      <c r="F63" s="235">
        <f t="shared" si="42"/>
        <v>1.0096594358889441</v>
      </c>
      <c r="G63" s="235">
        <f t="shared" si="42"/>
      </c>
      <c r="H63" s="235">
        <f>IF(OR(H50=0,L50=""),"",L50/H50)</f>
      </c>
      <c r="I63" s="235"/>
      <c r="J63" s="235"/>
      <c r="K63" s="235"/>
      <c r="L63" s="235"/>
      <c r="M63" s="232"/>
    </row>
    <row r="64" spans="1:13" ht="12.75">
      <c r="A64" s="232"/>
      <c r="B64" s="233">
        <f t="shared" si="36"/>
        <v>1999</v>
      </c>
      <c r="C64" s="235">
        <f t="shared" si="41"/>
        <v>1.3086216602433638</v>
      </c>
      <c r="D64" s="235">
        <f t="shared" si="42"/>
        <v>1.0470604456210015</v>
      </c>
      <c r="E64" s="235">
        <f t="shared" si="42"/>
        <v>1.0201471664919701</v>
      </c>
      <c r="F64" s="235">
        <f t="shared" si="42"/>
      </c>
      <c r="G64" s="235">
        <f t="shared" si="42"/>
      </c>
      <c r="H64" s="235">
        <f>IF(OR(H51=0,L51=""),"",L51/H51)</f>
      </c>
      <c r="I64" s="235"/>
      <c r="J64" s="235"/>
      <c r="K64" s="235"/>
      <c r="L64" s="235"/>
      <c r="M64" s="232"/>
    </row>
    <row r="65" spans="1:13" ht="12.75">
      <c r="A65" s="232"/>
      <c r="B65" s="233">
        <f t="shared" si="36"/>
        <v>2000</v>
      </c>
      <c r="C65" s="235">
        <f t="shared" si="41"/>
        <v>1.364247684637085</v>
      </c>
      <c r="D65" s="235">
        <f t="shared" si="42"/>
        <v>1.0475604857705334</v>
      </c>
      <c r="E65" s="235">
        <f t="shared" si="42"/>
      </c>
      <c r="F65" s="235">
        <f t="shared" si="42"/>
      </c>
      <c r="G65" s="235">
        <f t="shared" si="42"/>
      </c>
      <c r="H65" s="235">
        <f>IF(OR(H52=0,L52=""),"",L52/H52)</f>
      </c>
      <c r="I65" s="235"/>
      <c r="J65" s="235"/>
      <c r="K65" s="235"/>
      <c r="L65" s="235"/>
      <c r="M65" s="232"/>
    </row>
    <row r="66" spans="1:13" ht="12.75">
      <c r="A66" s="232"/>
      <c r="B66" s="233">
        <f t="shared" si="36"/>
        <v>2001</v>
      </c>
      <c r="C66" s="235">
        <f t="shared" si="41"/>
        <v>1.3809634721732362</v>
      </c>
      <c r="D66" s="235">
        <f t="shared" si="42"/>
      </c>
      <c r="E66" s="235">
        <f t="shared" si="42"/>
      </c>
      <c r="F66" s="235">
        <f t="shared" si="42"/>
      </c>
      <c r="G66" s="235">
        <f t="shared" si="42"/>
      </c>
      <c r="H66" s="235">
        <f>IF(OR(H53=0,L53=""),"",L53/H53)</f>
      </c>
      <c r="I66" s="235"/>
      <c r="J66" s="235"/>
      <c r="K66" s="235"/>
      <c r="L66" s="235"/>
      <c r="M66" s="232"/>
    </row>
    <row r="67" spans="1:13" ht="12.75">
      <c r="A67" s="232"/>
      <c r="B67" s="233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</row>
    <row r="68" spans="1:59" ht="12.75">
      <c r="A68" s="232"/>
      <c r="B68" s="236" t="s">
        <v>181</v>
      </c>
      <c r="C68" s="237">
        <f aca="true" t="shared" si="43" ref="C68:K68">AVERAGE(C58:C66)</f>
        <v>1.292947232823172</v>
      </c>
      <c r="D68" s="237">
        <f t="shared" si="43"/>
        <v>1.0495792008662113</v>
      </c>
      <c r="E68" s="237">
        <f t="shared" si="43"/>
        <v>1.0269976063711965</v>
      </c>
      <c r="F68" s="237">
        <f t="shared" si="43"/>
        <v>1.020935895323331</v>
      </c>
      <c r="G68" s="237">
        <f t="shared" si="43"/>
        <v>1.0052971129316672</v>
      </c>
      <c r="H68" s="237">
        <f t="shared" si="43"/>
        <v>1.0011673438139999</v>
      </c>
      <c r="I68" s="237">
        <f t="shared" si="43"/>
        <v>1</v>
      </c>
      <c r="J68" s="237">
        <f t="shared" si="43"/>
        <v>1</v>
      </c>
      <c r="K68" s="237">
        <f t="shared" si="43"/>
        <v>1</v>
      </c>
      <c r="L68" s="232"/>
      <c r="M68" s="232"/>
      <c r="BG68" s="25" t="s">
        <v>219</v>
      </c>
    </row>
    <row r="69" spans="1:13" ht="12.75">
      <c r="A69" s="232"/>
      <c r="B69" s="232" t="s">
        <v>182</v>
      </c>
      <c r="C69" s="237">
        <f>AVERAGE(C64:C66)</f>
        <v>1.3512776056845617</v>
      </c>
      <c r="D69" s="237">
        <f>AVERAGE(D63:D65)</f>
        <v>1.049012960840481</v>
      </c>
      <c r="E69" s="237">
        <f>AVERAGE(E62:E64)</f>
        <v>1.0217903017142471</v>
      </c>
      <c r="F69" s="237">
        <f>AVERAGE(F61:F63)</f>
        <v>1.0181138795645472</v>
      </c>
      <c r="G69" s="237">
        <f>AVERAGE(G60:G62)</f>
        <v>1.0034273423722595</v>
      </c>
      <c r="H69" s="237">
        <f>AVERAGE(H59:H61)</f>
        <v>1.000678020468427</v>
      </c>
      <c r="I69" s="237">
        <f>AVERAGE(I58:I60)</f>
        <v>1</v>
      </c>
      <c r="J69" s="232"/>
      <c r="K69" s="232"/>
      <c r="L69" s="232"/>
      <c r="M69" s="232"/>
    </row>
    <row r="70" spans="1:13" ht="12.75">
      <c r="A70" s="232"/>
      <c r="B70" s="232" t="s">
        <v>183</v>
      </c>
      <c r="C70" s="237">
        <f>(SUM(C58:C66)-MIN(C58:C66)-MAX(C58:C66))/(COUNT(C58:C66)-2)</f>
        <v>1.2903087921016512</v>
      </c>
      <c r="D70" s="237">
        <f>(SUM(D58:D65)-MIN(D58:D65)-MAX(D58:D65))/(COUNT(D58:D65)-2)</f>
        <v>1.0483632897091586</v>
      </c>
      <c r="E70" s="237">
        <f>(SUM(E58:E64)-MIN(E58:E64)-MAX(E58:E64))/(COUNT(E58:E64)-2)</f>
        <v>1.0251186309810216</v>
      </c>
      <c r="F70" s="237">
        <f>(SUM(F58:F63)-MIN(F58:F63)-MAX(F58:F63))/(COUNT(F58:F63)-2)</f>
        <v>1.022303195857311</v>
      </c>
      <c r="G70" s="237">
        <f>(SUM(G58:G62)-MIN(G58:G62)-MAX(G58:G62))/(COUNT(G58:G62)-2)</f>
        <v>1.0034273423722597</v>
      </c>
      <c r="H70" s="237">
        <f>(SUM(H58:H61)-MIN(H58:H61)-MAX(H58:H61))/(COUNT(H58:H61)-2)</f>
        <v>1.0011236396364687</v>
      </c>
      <c r="I70" s="232"/>
      <c r="J70" s="232"/>
      <c r="K70" s="232"/>
      <c r="L70" s="232"/>
      <c r="M70" s="232"/>
    </row>
    <row r="71" spans="1:13" ht="12.75">
      <c r="A71" s="232"/>
      <c r="B71" s="232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2"/>
    </row>
    <row r="72" spans="1:13" ht="12.75">
      <c r="A72" s="232"/>
      <c r="B72" s="253" t="s">
        <v>83</v>
      </c>
      <c r="C72" s="254">
        <f aca="true" t="shared" si="44" ref="C72:I72">C69</f>
        <v>1.3512776056845617</v>
      </c>
      <c r="D72" s="254">
        <f t="shared" si="44"/>
        <v>1.049012960840481</v>
      </c>
      <c r="E72" s="254">
        <f t="shared" si="44"/>
        <v>1.0217903017142471</v>
      </c>
      <c r="F72" s="254">
        <f t="shared" si="44"/>
        <v>1.0181138795645472</v>
      </c>
      <c r="G72" s="254">
        <f t="shared" si="44"/>
        <v>1.0034273423722595</v>
      </c>
      <c r="H72" s="254">
        <f t="shared" si="44"/>
        <v>1.000678020468427</v>
      </c>
      <c r="I72" s="254">
        <f t="shared" si="44"/>
        <v>1</v>
      </c>
      <c r="J72" s="254">
        <f>J68</f>
        <v>1</v>
      </c>
      <c r="K72" s="254">
        <f>K68</f>
        <v>1</v>
      </c>
      <c r="L72" s="254">
        <v>1</v>
      </c>
      <c r="M72" s="232"/>
    </row>
    <row r="73" spans="1:13" ht="12.75">
      <c r="A73" s="232"/>
      <c r="B73" s="232" t="s">
        <v>184</v>
      </c>
      <c r="C73" s="238">
        <f>PRODUCT(C72:$L72)</f>
        <v>1.4806890322176285</v>
      </c>
      <c r="D73" s="238">
        <f>PRODUCT(D72:$L72)</f>
        <v>1.0957696819577698</v>
      </c>
      <c r="E73" s="238">
        <f>PRODUCT(E72:$L72)</f>
        <v>1.0445721100336325</v>
      </c>
      <c r="F73" s="238">
        <f>PRODUCT(F72:$L72)</f>
        <v>1.0222959723547627</v>
      </c>
      <c r="G73" s="238">
        <f>PRODUCT(G72:$L72)</f>
        <v>1.004107686648967</v>
      </c>
      <c r="H73" s="238">
        <f>PRODUCT(H72:$L72)</f>
        <v>1.000678020468427</v>
      </c>
      <c r="I73" s="238">
        <f>PRODUCT(I72:$L72)</f>
        <v>1</v>
      </c>
      <c r="J73" s="238">
        <f>PRODUCT(J72:$L72)</f>
        <v>1</v>
      </c>
      <c r="K73" s="238">
        <f>PRODUCT(K72:$L72)</f>
        <v>1</v>
      </c>
      <c r="L73" s="238">
        <f>L72</f>
        <v>1</v>
      </c>
      <c r="M73" s="232"/>
    </row>
    <row r="74" spans="1:13" ht="12.75">
      <c r="A74" s="232"/>
      <c r="B74" s="232" t="s">
        <v>188</v>
      </c>
      <c r="C74" s="239">
        <f aca="true" t="shared" si="45" ref="C74:L74">1-1/C73</f>
        <v>0.3246387470687889</v>
      </c>
      <c r="D74" s="239">
        <f t="shared" si="45"/>
        <v>0.08739946316698755</v>
      </c>
      <c r="E74" s="239">
        <f t="shared" si="45"/>
        <v>0.04267020879218897</v>
      </c>
      <c r="F74" s="239">
        <f t="shared" si="45"/>
        <v>0.021809703801733638</v>
      </c>
      <c r="G74" s="239">
        <f t="shared" si="45"/>
        <v>0.004090882585189415</v>
      </c>
      <c r="H74" s="239">
        <f t="shared" si="45"/>
        <v>0.0006775610681540867</v>
      </c>
      <c r="I74" s="239">
        <f t="shared" si="45"/>
        <v>0</v>
      </c>
      <c r="J74" s="239">
        <f t="shared" si="45"/>
        <v>0</v>
      </c>
      <c r="K74" s="239">
        <f t="shared" si="45"/>
        <v>0</v>
      </c>
      <c r="L74" s="239">
        <f t="shared" si="45"/>
        <v>0</v>
      </c>
      <c r="M74" s="232"/>
    </row>
    <row r="75" spans="1:13" ht="12.75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229" ht="12.75">
      <c r="N229" s="24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29"/>
  <sheetViews>
    <sheetView showGridLines="0" zoomScale="75" zoomScaleNormal="75" workbookViewId="0" topLeftCell="L1">
      <selection activeCell="R3" sqref="R3:AA19"/>
    </sheetView>
  </sheetViews>
  <sheetFormatPr defaultColWidth="8.88671875" defaultRowHeight="15.75"/>
  <cols>
    <col min="1" max="1" width="2.77734375" style="9" customWidth="1"/>
    <col min="2" max="2" width="10.6640625" style="9" bestFit="1" customWidth="1"/>
    <col min="3" max="3" width="5.5546875" style="9" bestFit="1" customWidth="1"/>
    <col min="4" max="12" width="6.10546875" style="9" customWidth="1"/>
    <col min="13" max="17" width="7.10546875" style="9" customWidth="1"/>
    <col min="18" max="18" width="6.4453125" style="9" customWidth="1"/>
    <col min="19" max="19" width="9.6640625" style="9" customWidth="1"/>
    <col min="20" max="20" width="7.21484375" style="9" bestFit="1" customWidth="1"/>
    <col min="21" max="21" width="7.5546875" style="9" bestFit="1" customWidth="1"/>
    <col min="22" max="23" width="1.77734375" style="9" customWidth="1"/>
    <col min="24" max="24" width="6.4453125" style="9" customWidth="1"/>
    <col min="25" max="30" width="7.10546875" style="9" customWidth="1"/>
    <col min="31" max="31" width="6.4453125" style="9" bestFit="1" customWidth="1"/>
    <col min="32" max="32" width="6.6640625" style="9" bestFit="1" customWidth="1"/>
    <col min="33" max="33" width="4.88671875" style="9" bestFit="1" customWidth="1"/>
    <col min="34" max="34" width="6.88671875" style="9" bestFit="1" customWidth="1"/>
    <col min="35" max="35" width="1.5625" style="9" customWidth="1"/>
    <col min="36" max="36" width="6.10546875" style="9" customWidth="1"/>
    <col min="37" max="37" width="6.5546875" style="9" bestFit="1" customWidth="1"/>
    <col min="38" max="38" width="7.99609375" style="9" bestFit="1" customWidth="1"/>
    <col min="39" max="39" width="7.5546875" style="9" bestFit="1" customWidth="1"/>
    <col min="40" max="40" width="1.1171875" style="9" customWidth="1"/>
    <col min="41" max="41" width="6.3359375" style="9" customWidth="1"/>
    <col min="42" max="42" width="6.6640625" style="9" customWidth="1"/>
    <col min="43" max="43" width="7.5546875" style="9" customWidth="1"/>
    <col min="44" max="61" width="7.10546875" style="9" customWidth="1"/>
    <col min="62" max="62" width="2.6640625" style="9" customWidth="1"/>
    <col min="63" max="16384" width="7.10546875" style="9" customWidth="1"/>
  </cols>
  <sheetData>
    <row r="1" spans="1:13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67" ht="12.7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</row>
    <row r="3" spans="1:67" ht="14.25">
      <c r="A3" s="232"/>
      <c r="B3" s="232" t="s">
        <v>221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P3" s="18"/>
      <c r="R3" s="232"/>
      <c r="S3" s="255" t="s">
        <v>166</v>
      </c>
      <c r="T3" s="232"/>
      <c r="U3" s="232"/>
      <c r="V3" s="232"/>
      <c r="W3" s="232"/>
      <c r="X3" s="232"/>
      <c r="Y3" s="255" t="s">
        <v>167</v>
      </c>
      <c r="Z3" s="232"/>
      <c r="AA3" s="232"/>
      <c r="AB3" s="232"/>
      <c r="AE3" s="232"/>
      <c r="AF3" s="232"/>
      <c r="AG3" s="232"/>
      <c r="AH3" s="232"/>
      <c r="AI3" s="232"/>
      <c r="AJ3" s="255" t="s">
        <v>168</v>
      </c>
      <c r="AK3" s="232"/>
      <c r="AL3" s="232"/>
      <c r="AM3" s="232"/>
      <c r="AN3" s="232"/>
      <c r="AO3" s="255" t="s">
        <v>169</v>
      </c>
      <c r="AP3" s="232"/>
      <c r="AQ3" s="232"/>
      <c r="AR3" s="232"/>
      <c r="AS3" s="232"/>
      <c r="BE3" s="232"/>
      <c r="BF3" s="251"/>
      <c r="BG3" s="251" t="s">
        <v>170</v>
      </c>
      <c r="BH3" s="251"/>
      <c r="BI3" s="251"/>
      <c r="BJ3" s="232"/>
      <c r="BK3" s="232"/>
      <c r="BL3" s="232"/>
      <c r="BM3" s="232"/>
      <c r="BN3" s="232"/>
      <c r="BO3" s="232"/>
    </row>
    <row r="4" spans="1:67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P4" s="18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BE4" s="233" t="str">
        <f aca="true" t="shared" si="0" ref="BE4:BE15">AE6</f>
        <v>Accident</v>
      </c>
      <c r="BF4" s="233" t="s">
        <v>23</v>
      </c>
      <c r="BG4" s="233" t="s">
        <v>32</v>
      </c>
      <c r="BH4" s="233" t="s">
        <v>23</v>
      </c>
      <c r="BI4" s="233" t="s">
        <v>32</v>
      </c>
      <c r="BJ4" s="232"/>
      <c r="BK4" s="233" t="s">
        <v>83</v>
      </c>
      <c r="BL4" s="233" t="s">
        <v>83</v>
      </c>
      <c r="BM4" s="233" t="s">
        <v>83</v>
      </c>
      <c r="BN4" s="233" t="s">
        <v>83</v>
      </c>
      <c r="BO4" s="232"/>
    </row>
    <row r="5" spans="1:67" ht="12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P5" s="18"/>
      <c r="R5" s="232"/>
      <c r="S5" s="233" t="s">
        <v>23</v>
      </c>
      <c r="T5" s="232"/>
      <c r="U5" s="233" t="s">
        <v>33</v>
      </c>
      <c r="V5" s="232"/>
      <c r="W5" s="232"/>
      <c r="X5" s="232"/>
      <c r="Y5" s="233" t="s">
        <v>32</v>
      </c>
      <c r="Z5" s="232"/>
      <c r="AA5" s="233" t="s">
        <v>33</v>
      </c>
      <c r="AB5" s="232"/>
      <c r="AE5" s="232"/>
      <c r="AF5" s="232"/>
      <c r="AG5" s="232"/>
      <c r="AH5" s="232"/>
      <c r="AI5" s="232"/>
      <c r="AJ5" s="232"/>
      <c r="AK5" s="232"/>
      <c r="AL5" s="233" t="s">
        <v>23</v>
      </c>
      <c r="AM5" s="233" t="s">
        <v>33</v>
      </c>
      <c r="AN5" s="232"/>
      <c r="AO5" s="232"/>
      <c r="AP5" s="232"/>
      <c r="AQ5" s="233" t="s">
        <v>32</v>
      </c>
      <c r="AR5" s="233" t="s">
        <v>33</v>
      </c>
      <c r="AS5" s="232"/>
      <c r="BE5" s="250" t="str">
        <f t="shared" si="0"/>
        <v>Year</v>
      </c>
      <c r="BF5" s="250" t="s">
        <v>173</v>
      </c>
      <c r="BG5" s="250" t="s">
        <v>173</v>
      </c>
      <c r="BH5" s="250" t="s">
        <v>174</v>
      </c>
      <c r="BI5" s="250" t="s">
        <v>174</v>
      </c>
      <c r="BJ5" s="232"/>
      <c r="BK5" s="250" t="s">
        <v>38</v>
      </c>
      <c r="BL5" s="250" t="s">
        <v>175</v>
      </c>
      <c r="BM5" s="250" t="s">
        <v>87</v>
      </c>
      <c r="BN5" s="250" t="s">
        <v>176</v>
      </c>
      <c r="BO5" s="232"/>
    </row>
    <row r="6" spans="1:67" ht="12.75">
      <c r="A6" s="232"/>
      <c r="B6" s="233" t="s">
        <v>34</v>
      </c>
      <c r="C6" s="232" t="s">
        <v>189</v>
      </c>
      <c r="D6" s="232" t="s">
        <v>178</v>
      </c>
      <c r="E6" s="232"/>
      <c r="F6" s="232"/>
      <c r="G6" s="232"/>
      <c r="H6" s="232"/>
      <c r="I6" s="232"/>
      <c r="J6" s="232"/>
      <c r="K6" s="232"/>
      <c r="L6" s="232"/>
      <c r="M6" s="232"/>
      <c r="P6" s="18"/>
      <c r="R6" s="233" t="str">
        <f aca="true" t="shared" si="1" ref="R6:R17">X6</f>
        <v>Accident</v>
      </c>
      <c r="S6" s="233" t="s">
        <v>171</v>
      </c>
      <c r="T6" s="233" t="s">
        <v>172</v>
      </c>
      <c r="U6" s="233" t="s">
        <v>38</v>
      </c>
      <c r="V6" s="232"/>
      <c r="W6" s="232"/>
      <c r="X6" s="233" t="str">
        <f>B56</f>
        <v>Accident</v>
      </c>
      <c r="Y6" s="233" t="s">
        <v>171</v>
      </c>
      <c r="Z6" s="233" t="s">
        <v>172</v>
      </c>
      <c r="AA6" s="233" t="s">
        <v>38</v>
      </c>
      <c r="AB6" s="232"/>
      <c r="AE6" s="233" t="str">
        <f>B19</f>
        <v>Accident</v>
      </c>
      <c r="AF6" s="233" t="s">
        <v>88</v>
      </c>
      <c r="AG6" s="233"/>
      <c r="AH6" s="233" t="s">
        <v>86</v>
      </c>
      <c r="AI6" s="233"/>
      <c r="AJ6" s="233" t="s">
        <v>87</v>
      </c>
      <c r="AK6" s="233" t="s">
        <v>33</v>
      </c>
      <c r="AL6" s="233" t="s">
        <v>171</v>
      </c>
      <c r="AM6" s="233" t="s">
        <v>38</v>
      </c>
      <c r="AN6" s="232"/>
      <c r="AO6" s="233" t="s">
        <v>175</v>
      </c>
      <c r="AP6" s="233" t="s">
        <v>33</v>
      </c>
      <c r="AQ6" s="233" t="s">
        <v>171</v>
      </c>
      <c r="AR6" s="233" t="s">
        <v>38</v>
      </c>
      <c r="AS6" s="232"/>
      <c r="BE6" s="233">
        <f t="shared" si="0"/>
        <v>1993</v>
      </c>
      <c r="BF6" s="243">
        <f aca="true" t="shared" si="2" ref="BF6:BF15">U8</f>
        <v>25413.059074319404</v>
      </c>
      <c r="BG6" s="243">
        <f aca="true" t="shared" si="3" ref="BG6:BG15">AA8</f>
        <v>25478.11883927776</v>
      </c>
      <c r="BH6" s="243">
        <f aca="true" t="shared" si="4" ref="BH6:BH15">AM8</f>
        <v>25413.059074319404</v>
      </c>
      <c r="BI6" s="243">
        <f aca="true" t="shared" si="5" ref="BI6:BI15">AR8</f>
        <v>25784.878606477596</v>
      </c>
      <c r="BJ6" s="232"/>
      <c r="BK6" s="243">
        <f aca="true" t="shared" si="6" ref="BK6:BK15">AVERAGE(BF6:BI6)</f>
        <v>25522.27889859854</v>
      </c>
      <c r="BL6" s="243">
        <f aca="true" t="shared" si="7" ref="BL6:BL15">BK6-AQ8</f>
        <v>649.944489666439</v>
      </c>
      <c r="BM6" s="243">
        <f aca="true" t="shared" si="8" ref="BM6:BM15">BK6-AL8</f>
        <v>109.21982427913463</v>
      </c>
      <c r="BN6" s="252">
        <f aca="true" t="shared" si="9" ref="BN6:BN15">BK6/AF8</f>
        <v>0.5319934402769483</v>
      </c>
      <c r="BO6" s="232"/>
    </row>
    <row r="7" spans="1:67" ht="13.5" thickBot="1">
      <c r="A7" s="232"/>
      <c r="B7" s="250" t="s">
        <v>39</v>
      </c>
      <c r="C7" s="250">
        <v>12</v>
      </c>
      <c r="D7" s="250">
        <f>C7+12</f>
        <v>24</v>
      </c>
      <c r="E7" s="250">
        <f>D7+12</f>
        <v>36</v>
      </c>
      <c r="F7" s="250">
        <f>E7+12</f>
        <v>48</v>
      </c>
      <c r="G7" s="250">
        <f>F7+12</f>
        <v>60</v>
      </c>
      <c r="H7" s="250">
        <f>G7+12</f>
        <v>72</v>
      </c>
      <c r="I7" s="250">
        <v>84</v>
      </c>
      <c r="J7" s="250">
        <v>96</v>
      </c>
      <c r="K7" s="250">
        <v>108</v>
      </c>
      <c r="L7" s="250">
        <v>120</v>
      </c>
      <c r="M7" s="232"/>
      <c r="P7" s="18"/>
      <c r="R7" s="250" t="str">
        <f t="shared" si="1"/>
        <v>Year</v>
      </c>
      <c r="S7" s="250" t="str">
        <f>"at "&amp;TEXT(curreval,"m/d/yy")</f>
        <v>at 12/31/02</v>
      </c>
      <c r="T7" s="250" t="s">
        <v>173</v>
      </c>
      <c r="U7" s="250" t="s">
        <v>171</v>
      </c>
      <c r="V7" s="232"/>
      <c r="W7" s="232"/>
      <c r="X7" s="250" t="str">
        <f>B57</f>
        <v>Year</v>
      </c>
      <c r="Y7" s="250" t="str">
        <f>"at "&amp;TEXT(curreval,"m/d/yy")</f>
        <v>at 12/31/02</v>
      </c>
      <c r="Z7" s="250" t="s">
        <v>173</v>
      </c>
      <c r="AA7" s="250" t="s">
        <v>171</v>
      </c>
      <c r="AB7" s="232"/>
      <c r="AE7" s="250" t="str">
        <f>B20</f>
        <v>Year</v>
      </c>
      <c r="AF7" s="250" t="s">
        <v>89</v>
      </c>
      <c r="AG7" s="244" t="s">
        <v>69</v>
      </c>
      <c r="AH7" s="250" t="s">
        <v>42</v>
      </c>
      <c r="AI7" s="244"/>
      <c r="AJ7" s="250" t="s">
        <v>41</v>
      </c>
      <c r="AK7" s="250" t="s">
        <v>87</v>
      </c>
      <c r="AL7" s="250" t="str">
        <f>"at "&amp;TEXT(curreval,"m/d/yy")</f>
        <v>at 12/31/02</v>
      </c>
      <c r="AM7" s="250" t="s">
        <v>171</v>
      </c>
      <c r="AN7" s="232"/>
      <c r="AO7" s="250" t="s">
        <v>41</v>
      </c>
      <c r="AP7" s="250" t="s">
        <v>175</v>
      </c>
      <c r="AQ7" s="250" t="str">
        <f>"at "&amp;TEXT(curreval,"m/d/yy")</f>
        <v>at 12/31/02</v>
      </c>
      <c r="AR7" s="250" t="s">
        <v>171</v>
      </c>
      <c r="AS7" s="232"/>
      <c r="BE7" s="233">
        <f t="shared" si="0"/>
        <v>1994</v>
      </c>
      <c r="BF7" s="243">
        <f t="shared" si="2"/>
        <v>24895.744889053633</v>
      </c>
      <c r="BG7" s="243">
        <f t="shared" si="3"/>
        <v>24761.531457723067</v>
      </c>
      <c r="BH7" s="243">
        <f t="shared" si="4"/>
        <v>24895.744889053633</v>
      </c>
      <c r="BI7" s="243">
        <f t="shared" si="5"/>
        <v>25379.697263620208</v>
      </c>
      <c r="BJ7" s="232"/>
      <c r="BK7" s="243">
        <f t="shared" si="6"/>
        <v>24983.179624862634</v>
      </c>
      <c r="BL7" s="243">
        <f t="shared" si="7"/>
        <v>1385.1425072810343</v>
      </c>
      <c r="BM7" s="243">
        <f t="shared" si="8"/>
        <v>87.43473580900172</v>
      </c>
      <c r="BN7" s="252">
        <f t="shared" si="9"/>
        <v>0.527107997494818</v>
      </c>
      <c r="BO7" s="232"/>
    </row>
    <row r="8" spans="1:67" ht="12.75">
      <c r="A8" s="232"/>
      <c r="B8" s="233">
        <f aca="true" t="shared" si="10" ref="B8:B16">B9-1</f>
        <v>1993</v>
      </c>
      <c r="C8" s="234">
        <v>13685.662458437237</v>
      </c>
      <c r="D8" s="234">
        <v>18863.935267625206</v>
      </c>
      <c r="E8" s="234">
        <v>19928.681468529194</v>
      </c>
      <c r="F8" s="234">
        <v>22138.20508624272</v>
      </c>
      <c r="G8" s="234">
        <v>22739.510182876136</v>
      </c>
      <c r="H8" s="234">
        <v>24410.916367122554</v>
      </c>
      <c r="I8" s="234">
        <v>25090.986979166664</v>
      </c>
      <c r="J8" s="234">
        <v>25299.43811451189</v>
      </c>
      <c r="K8" s="234">
        <v>25413.059074319404</v>
      </c>
      <c r="L8" s="234">
        <v>25413.059074319404</v>
      </c>
      <c r="M8" s="232"/>
      <c r="P8" s="18"/>
      <c r="R8" s="233">
        <f t="shared" si="1"/>
        <v>1993</v>
      </c>
      <c r="S8" s="241">
        <f>L8</f>
        <v>25413.059074319404</v>
      </c>
      <c r="T8" s="245">
        <f>L36</f>
        <v>1</v>
      </c>
      <c r="U8" s="241">
        <f aca="true" t="shared" si="11" ref="U8:U17">T8*S8</f>
        <v>25413.059074319404</v>
      </c>
      <c r="V8" s="232"/>
      <c r="W8" s="232"/>
      <c r="X8" s="233">
        <f aca="true" t="shared" si="12" ref="X8:X17">B45</f>
        <v>1993</v>
      </c>
      <c r="Y8" s="241">
        <f>L45</f>
        <v>24872.3344089321</v>
      </c>
      <c r="Z8" s="245">
        <f>L73</f>
        <v>1.0243557528773057</v>
      </c>
      <c r="AA8" s="241">
        <f aca="true" t="shared" si="13" ref="AA8:AA17">Z8*Y8</f>
        <v>25478.11883927776</v>
      </c>
      <c r="AB8" s="232"/>
      <c r="AE8" s="233">
        <f aca="true" t="shared" si="14" ref="AE8:AE17">B8</f>
        <v>1993</v>
      </c>
      <c r="AF8" s="234">
        <v>47974.8</v>
      </c>
      <c r="AG8" s="247">
        <v>0.8</v>
      </c>
      <c r="AH8" s="234">
        <f aca="true" t="shared" si="15" ref="AH8:AH17">AF8*AG8</f>
        <v>38379.840000000004</v>
      </c>
      <c r="AI8" s="234"/>
      <c r="AJ8" s="245">
        <f>L37</f>
        <v>0</v>
      </c>
      <c r="AK8" s="246">
        <f aca="true" t="shared" si="16" ref="AK8:AK17">AH8*AJ8</f>
        <v>0</v>
      </c>
      <c r="AL8" s="234">
        <f>L8</f>
        <v>25413.059074319404</v>
      </c>
      <c r="AM8" s="234">
        <f aca="true" t="shared" si="17" ref="AM8:AM17">AK8+AL8</f>
        <v>25413.059074319404</v>
      </c>
      <c r="AN8" s="232"/>
      <c r="AO8" s="245">
        <f>L74</f>
        <v>0.023776654554721888</v>
      </c>
      <c r="AP8" s="246">
        <f aca="true" t="shared" si="18" ref="AP8:AP17">AO8*AH8</f>
        <v>912.5441975454974</v>
      </c>
      <c r="AQ8" s="234">
        <f>L45</f>
        <v>24872.3344089321</v>
      </c>
      <c r="AR8" s="234">
        <f aca="true" t="shared" si="19" ref="AR8:AR17">AP8+AQ8</f>
        <v>25784.878606477596</v>
      </c>
      <c r="AS8" s="232"/>
      <c r="BE8" s="233">
        <f t="shared" si="0"/>
        <v>1995</v>
      </c>
      <c r="BF8" s="243">
        <f t="shared" si="2"/>
        <v>30506.650389975453</v>
      </c>
      <c r="BG8" s="243">
        <f t="shared" si="3"/>
        <v>29933.014657609452</v>
      </c>
      <c r="BH8" s="243">
        <f t="shared" si="4"/>
        <v>30592.82382742159</v>
      </c>
      <c r="BI8" s="243">
        <f t="shared" si="5"/>
        <v>30657.83851559873</v>
      </c>
      <c r="BJ8" s="232"/>
      <c r="BK8" s="243">
        <f t="shared" si="6"/>
        <v>30422.58184765131</v>
      </c>
      <c r="BL8" s="243">
        <f t="shared" si="7"/>
        <v>3439.874566533108</v>
      </c>
      <c r="BM8" s="243">
        <f t="shared" si="8"/>
        <v>303.65622221554077</v>
      </c>
      <c r="BN8" s="252">
        <f t="shared" si="9"/>
        <v>0.6527246441139899</v>
      </c>
      <c r="BO8" s="232"/>
    </row>
    <row r="9" spans="1:67" ht="12.75">
      <c r="A9" s="232"/>
      <c r="B9" s="233">
        <f t="shared" si="10"/>
        <v>1994</v>
      </c>
      <c r="C9" s="234">
        <v>14105.013768670635</v>
      </c>
      <c r="D9" s="234">
        <v>17116.73688214823</v>
      </c>
      <c r="E9" s="234">
        <v>19846.518260076675</v>
      </c>
      <c r="F9" s="234">
        <v>20959.65075695686</v>
      </c>
      <c r="G9" s="234">
        <v>23108.856249597957</v>
      </c>
      <c r="H9" s="234">
        <v>23715.614072209213</v>
      </c>
      <c r="I9" s="234">
        <v>23275.323065072236</v>
      </c>
      <c r="J9" s="234">
        <v>24377.594059569143</v>
      </c>
      <c r="K9" s="234">
        <v>24895.744889053633</v>
      </c>
      <c r="L9" s="234"/>
      <c r="M9" s="232"/>
      <c r="P9" s="18"/>
      <c r="R9" s="233">
        <f t="shared" si="1"/>
        <v>1994</v>
      </c>
      <c r="S9" s="241">
        <f>K9</f>
        <v>24895.744889053633</v>
      </c>
      <c r="T9" s="245">
        <f>K36</f>
        <v>1</v>
      </c>
      <c r="U9" s="241">
        <f t="shared" si="11"/>
        <v>24895.744889053633</v>
      </c>
      <c r="V9" s="232"/>
      <c r="W9" s="232"/>
      <c r="X9" s="233">
        <f t="shared" si="12"/>
        <v>1994</v>
      </c>
      <c r="Y9" s="241">
        <f>K46</f>
        <v>23598.0371175816</v>
      </c>
      <c r="Z9" s="245">
        <f>K73</f>
        <v>1.049304708452832</v>
      </c>
      <c r="AA9" s="241">
        <f t="shared" si="13"/>
        <v>24761.531457723067</v>
      </c>
      <c r="AB9" s="232"/>
      <c r="AE9" s="233">
        <f t="shared" si="14"/>
        <v>1994</v>
      </c>
      <c r="AF9" s="234">
        <v>47396.7</v>
      </c>
      <c r="AG9" s="248">
        <v>0.8</v>
      </c>
      <c r="AH9" s="234">
        <f t="shared" si="15"/>
        <v>37917.36</v>
      </c>
      <c r="AI9" s="234"/>
      <c r="AJ9" s="245">
        <f>K37</f>
        <v>0</v>
      </c>
      <c r="AK9" s="246">
        <f t="shared" si="16"/>
        <v>0</v>
      </c>
      <c r="AL9" s="234">
        <f>K9</f>
        <v>24895.744889053633</v>
      </c>
      <c r="AM9" s="234">
        <f t="shared" si="17"/>
        <v>24895.744889053633</v>
      </c>
      <c r="AN9" s="232"/>
      <c r="AO9" s="245">
        <f>K74</f>
        <v>0.046987979807629254</v>
      </c>
      <c r="AP9" s="246">
        <f t="shared" si="18"/>
        <v>1781.6601460386091</v>
      </c>
      <c r="AQ9" s="234">
        <f>K46</f>
        <v>23598.0371175816</v>
      </c>
      <c r="AR9" s="234">
        <f t="shared" si="19"/>
        <v>25379.697263620208</v>
      </c>
      <c r="AS9" s="232"/>
      <c r="BE9" s="233">
        <f t="shared" si="0"/>
        <v>1996</v>
      </c>
      <c r="BF9" s="243">
        <f t="shared" si="2"/>
        <v>30084.28241466552</v>
      </c>
      <c r="BG9" s="243">
        <f t="shared" si="3"/>
        <v>29765.133848737758</v>
      </c>
      <c r="BH9" s="243">
        <f t="shared" si="4"/>
        <v>30500.385406230598</v>
      </c>
      <c r="BI9" s="243">
        <f t="shared" si="5"/>
        <v>31410.644369004505</v>
      </c>
      <c r="BJ9" s="232"/>
      <c r="BK9" s="243">
        <f t="shared" si="6"/>
        <v>30440.111509659597</v>
      </c>
      <c r="BL9" s="243">
        <f t="shared" si="7"/>
        <v>5246.361556853099</v>
      </c>
      <c r="BM9" s="243">
        <f t="shared" si="8"/>
        <v>1560.068294660261</v>
      </c>
      <c r="BN9" s="252">
        <f t="shared" si="9"/>
        <v>0.6015927427639093</v>
      </c>
      <c r="BO9" s="232"/>
    </row>
    <row r="10" spans="1:67" ht="12.75">
      <c r="A10" s="232"/>
      <c r="B10" s="233">
        <f t="shared" si="10"/>
        <v>1995</v>
      </c>
      <c r="C10" s="234">
        <v>15669.75089084133</v>
      </c>
      <c r="D10" s="234">
        <v>20178.290337079583</v>
      </c>
      <c r="E10" s="234">
        <v>23303.671335577208</v>
      </c>
      <c r="F10" s="234">
        <v>25687.27667398486</v>
      </c>
      <c r="G10" s="234">
        <v>26889.52484436734</v>
      </c>
      <c r="H10" s="234">
        <v>27916.810870007303</v>
      </c>
      <c r="I10" s="234">
        <v>29249.91795793353</v>
      </c>
      <c r="J10" s="234">
        <v>30118.925625435768</v>
      </c>
      <c r="K10" s="234"/>
      <c r="L10" s="234"/>
      <c r="M10" s="232"/>
      <c r="P10" s="18"/>
      <c r="R10" s="233">
        <f t="shared" si="1"/>
        <v>1995</v>
      </c>
      <c r="S10" s="241">
        <f>J10</f>
        <v>30118.925625435768</v>
      </c>
      <c r="T10" s="245">
        <f>J36</f>
        <v>1.0128731273273655</v>
      </c>
      <c r="U10" s="241">
        <f t="shared" si="11"/>
        <v>30506.650389975453</v>
      </c>
      <c r="V10" s="232"/>
      <c r="W10" s="232"/>
      <c r="X10" s="233">
        <f t="shared" si="12"/>
        <v>1995</v>
      </c>
      <c r="Y10" s="241">
        <f>J47</f>
        <v>26982.7072811182</v>
      </c>
      <c r="Z10" s="245">
        <f>J73</f>
        <v>1.109340673111619</v>
      </c>
      <c r="AA10" s="241">
        <f t="shared" si="13"/>
        <v>29933.014657609452</v>
      </c>
      <c r="AB10" s="232"/>
      <c r="AE10" s="233">
        <f t="shared" si="14"/>
        <v>1995</v>
      </c>
      <c r="AF10" s="234">
        <v>46608.6</v>
      </c>
      <c r="AG10" s="248">
        <v>0.8</v>
      </c>
      <c r="AH10" s="234">
        <f t="shared" si="15"/>
        <v>37286.88</v>
      </c>
      <c r="AI10" s="234"/>
      <c r="AJ10" s="245">
        <f>J37</f>
        <v>0.012709516108234897</v>
      </c>
      <c r="AK10" s="246">
        <f t="shared" si="16"/>
        <v>473.8982019858216</v>
      </c>
      <c r="AL10" s="234">
        <f>J10</f>
        <v>30118.925625435768</v>
      </c>
      <c r="AM10" s="234">
        <f t="shared" si="17"/>
        <v>30592.82382742159</v>
      </c>
      <c r="AN10" s="232"/>
      <c r="AO10" s="245">
        <f>J74</f>
        <v>0.09856365655910415</v>
      </c>
      <c r="AP10" s="246">
        <f t="shared" si="18"/>
        <v>3675.131234480529</v>
      </c>
      <c r="AQ10" s="234">
        <f>J47</f>
        <v>26982.7072811182</v>
      </c>
      <c r="AR10" s="234">
        <f t="shared" si="19"/>
        <v>30657.83851559873</v>
      </c>
      <c r="AS10" s="232"/>
      <c r="BE10" s="233">
        <f t="shared" si="0"/>
        <v>1997</v>
      </c>
      <c r="BF10" s="243">
        <f t="shared" si="2"/>
        <v>43330.32292488954</v>
      </c>
      <c r="BG10" s="243">
        <f t="shared" si="3"/>
        <v>42500.61096498015</v>
      </c>
      <c r="BH10" s="243">
        <f t="shared" si="4"/>
        <v>43823.87243862617</v>
      </c>
      <c r="BI10" s="243">
        <f t="shared" si="5"/>
        <v>44263.82602267423</v>
      </c>
      <c r="BJ10" s="232"/>
      <c r="BK10" s="243">
        <f t="shared" si="6"/>
        <v>43479.658087792515</v>
      </c>
      <c r="BL10" s="243">
        <f t="shared" si="7"/>
        <v>9116.217558692915</v>
      </c>
      <c r="BM10" s="243">
        <f t="shared" si="8"/>
        <v>2701.445916909426</v>
      </c>
      <c r="BN10" s="252">
        <f t="shared" si="9"/>
        <v>0.6726702820316491</v>
      </c>
      <c r="BO10" s="232"/>
    </row>
    <row r="11" spans="1:67" ht="12.75">
      <c r="A11" s="232"/>
      <c r="B11" s="233">
        <f t="shared" si="10"/>
        <v>1996</v>
      </c>
      <c r="C11" s="234">
        <v>15894.870933790187</v>
      </c>
      <c r="D11" s="234">
        <v>25133.716088353354</v>
      </c>
      <c r="E11" s="234">
        <v>24200.55572572918</v>
      </c>
      <c r="F11" s="234">
        <v>25873.08051834491</v>
      </c>
      <c r="G11" s="234">
        <v>27031.63214002044</v>
      </c>
      <c r="H11" s="234">
        <v>28012.607889684743</v>
      </c>
      <c r="I11" s="234">
        <v>28880.043214999336</v>
      </c>
      <c r="J11" s="234"/>
      <c r="K11" s="234"/>
      <c r="L11" s="234"/>
      <c r="M11" s="232"/>
      <c r="P11" s="18"/>
      <c r="R11" s="233">
        <f t="shared" si="1"/>
        <v>1996</v>
      </c>
      <c r="S11" s="241">
        <f>I11</f>
        <v>28880.043214999336</v>
      </c>
      <c r="T11" s="245">
        <f>I36</f>
        <v>1.0416979708340859</v>
      </c>
      <c r="U11" s="241">
        <f t="shared" si="11"/>
        <v>30084.28241466552</v>
      </c>
      <c r="V11" s="232"/>
      <c r="W11" s="232"/>
      <c r="X11" s="233">
        <f t="shared" si="12"/>
        <v>1996</v>
      </c>
      <c r="Y11" s="241">
        <f>I48</f>
        <v>25193.7499528065</v>
      </c>
      <c r="Z11" s="245">
        <f>I73</f>
        <v>1.1814491254574837</v>
      </c>
      <c r="AA11" s="241">
        <f t="shared" si="13"/>
        <v>29765.133848737758</v>
      </c>
      <c r="AB11" s="232"/>
      <c r="AE11" s="233">
        <f t="shared" si="14"/>
        <v>1996</v>
      </c>
      <c r="AF11" s="234">
        <v>50599.2</v>
      </c>
      <c r="AG11" s="248">
        <v>0.8</v>
      </c>
      <c r="AH11" s="234">
        <f t="shared" si="15"/>
        <v>40479.36</v>
      </c>
      <c r="AI11" s="234"/>
      <c r="AJ11" s="245">
        <f>I37</f>
        <v>0.04002884905372173</v>
      </c>
      <c r="AK11" s="246">
        <f t="shared" si="16"/>
        <v>1620.342191231261</v>
      </c>
      <c r="AL11" s="234">
        <f>I11</f>
        <v>28880.043214999336</v>
      </c>
      <c r="AM11" s="234">
        <f t="shared" si="17"/>
        <v>30500.385406230598</v>
      </c>
      <c r="AN11" s="232"/>
      <c r="AO11" s="245">
        <f>I74</f>
        <v>0.15358183568608808</v>
      </c>
      <c r="AP11" s="246">
        <f t="shared" si="18"/>
        <v>6216.894416198006</v>
      </c>
      <c r="AQ11" s="234">
        <f>I48</f>
        <v>25193.7499528065</v>
      </c>
      <c r="AR11" s="234">
        <f t="shared" si="19"/>
        <v>31410.644369004505</v>
      </c>
      <c r="AS11" s="232"/>
      <c r="BE11" s="233">
        <f t="shared" si="0"/>
        <v>1998</v>
      </c>
      <c r="BF11" s="243">
        <f t="shared" si="2"/>
        <v>54576.6838558846</v>
      </c>
      <c r="BG11" s="243">
        <f t="shared" si="3"/>
        <v>53898.572830931524</v>
      </c>
      <c r="BH11" s="243">
        <f t="shared" si="4"/>
        <v>54672.73884770103</v>
      </c>
      <c r="BI11" s="243">
        <f t="shared" si="5"/>
        <v>54304.10452982292</v>
      </c>
      <c r="BJ11" s="232"/>
      <c r="BK11" s="243">
        <f t="shared" si="6"/>
        <v>54363.02501608502</v>
      </c>
      <c r="BL11" s="243">
        <f t="shared" si="7"/>
        <v>13250.945931979957</v>
      </c>
      <c r="BM11" s="243">
        <f t="shared" si="8"/>
        <v>4869.518565167469</v>
      </c>
      <c r="BN11" s="252">
        <f t="shared" si="9"/>
        <v>0.7820892679626675</v>
      </c>
      <c r="BO11" s="232"/>
    </row>
    <row r="12" spans="1:67" ht="12.75">
      <c r="A12" s="232"/>
      <c r="B12" s="233">
        <f t="shared" si="10"/>
        <v>1997</v>
      </c>
      <c r="C12" s="234">
        <v>16550.20750540245</v>
      </c>
      <c r="D12" s="234">
        <v>29928.09051060058</v>
      </c>
      <c r="E12" s="234">
        <v>35018.86042419819</v>
      </c>
      <c r="F12" s="234">
        <v>36735.26637140327</v>
      </c>
      <c r="G12" s="234">
        <v>39256.112121782455</v>
      </c>
      <c r="H12" s="234">
        <v>40778.21217088309</v>
      </c>
      <c r="I12" s="234"/>
      <c r="J12" s="234"/>
      <c r="K12" s="234"/>
      <c r="L12" s="234"/>
      <c r="M12" s="232"/>
      <c r="P12" s="18"/>
      <c r="R12" s="233">
        <f t="shared" si="1"/>
        <v>1997</v>
      </c>
      <c r="S12" s="241">
        <f>H12</f>
        <v>40778.21217088309</v>
      </c>
      <c r="T12" s="245">
        <f>H36</f>
        <v>1.0625851556049515</v>
      </c>
      <c r="U12" s="241">
        <f t="shared" si="11"/>
        <v>43330.32292488954</v>
      </c>
      <c r="V12" s="232"/>
      <c r="W12" s="232"/>
      <c r="X12" s="233">
        <f t="shared" si="12"/>
        <v>1997</v>
      </c>
      <c r="Y12" s="241">
        <f>H49</f>
        <v>34363.4405290996</v>
      </c>
      <c r="Z12" s="245">
        <f>H73</f>
        <v>1.2367973145468318</v>
      </c>
      <c r="AA12" s="241">
        <f t="shared" si="13"/>
        <v>42500.61096498015</v>
      </c>
      <c r="AB12" s="232"/>
      <c r="AE12" s="233">
        <f t="shared" si="14"/>
        <v>1997</v>
      </c>
      <c r="AF12" s="234">
        <v>64637.4</v>
      </c>
      <c r="AG12" s="248">
        <v>0.8</v>
      </c>
      <c r="AH12" s="234">
        <f t="shared" si="15"/>
        <v>51709.920000000006</v>
      </c>
      <c r="AI12" s="234"/>
      <c r="AJ12" s="245">
        <f>H37</f>
        <v>0.058898955321204816</v>
      </c>
      <c r="AK12" s="246">
        <f t="shared" si="16"/>
        <v>3045.6602677430756</v>
      </c>
      <c r="AL12" s="234">
        <f>H12</f>
        <v>40778.21217088309</v>
      </c>
      <c r="AM12" s="234">
        <f t="shared" si="17"/>
        <v>43823.87243862617</v>
      </c>
      <c r="AN12" s="232"/>
      <c r="AO12" s="245">
        <f>H74</f>
        <v>0.19146008142295767</v>
      </c>
      <c r="AP12" s="246">
        <f t="shared" si="18"/>
        <v>9900.385493574628</v>
      </c>
      <c r="AQ12" s="234">
        <f>H49</f>
        <v>34363.4405290996</v>
      </c>
      <c r="AR12" s="234">
        <f t="shared" si="19"/>
        <v>44263.82602267423</v>
      </c>
      <c r="AS12" s="232"/>
      <c r="BE12" s="233">
        <f t="shared" si="0"/>
        <v>1999</v>
      </c>
      <c r="BF12" s="243">
        <f t="shared" si="2"/>
        <v>74000.35718870192</v>
      </c>
      <c r="BG12" s="243">
        <f t="shared" si="3"/>
        <v>71863.47399646114</v>
      </c>
      <c r="BH12" s="243">
        <f t="shared" si="4"/>
        <v>73316.11321936703</v>
      </c>
      <c r="BI12" s="243">
        <f t="shared" si="5"/>
        <v>71093.59386545247</v>
      </c>
      <c r="BJ12" s="232"/>
      <c r="BK12" s="243">
        <f t="shared" si="6"/>
        <v>72568.38456749564</v>
      </c>
      <c r="BL12" s="243">
        <f t="shared" si="7"/>
        <v>21508.37052166921</v>
      </c>
      <c r="BM12" s="243">
        <f t="shared" si="8"/>
        <v>9124.851264693752</v>
      </c>
      <c r="BN12" s="252">
        <f t="shared" si="9"/>
        <v>0.8388923711634662</v>
      </c>
      <c r="BO12" s="232"/>
    </row>
    <row r="13" spans="1:67" ht="12.75">
      <c r="A13" s="232"/>
      <c r="B13" s="233">
        <f t="shared" si="10"/>
        <v>1998</v>
      </c>
      <c r="C13" s="234">
        <v>26118.50370420191</v>
      </c>
      <c r="D13" s="234">
        <v>37895.623301840445</v>
      </c>
      <c r="E13" s="234">
        <v>42536.17038075536</v>
      </c>
      <c r="F13" s="234">
        <v>46697.156512243455</v>
      </c>
      <c r="G13" s="234">
        <v>49493.50645091755</v>
      </c>
      <c r="H13" s="234"/>
      <c r="I13" s="234"/>
      <c r="J13" s="234"/>
      <c r="K13" s="234"/>
      <c r="L13" s="234"/>
      <c r="M13" s="232"/>
      <c r="P13" s="18"/>
      <c r="R13" s="233">
        <f t="shared" si="1"/>
        <v>1998</v>
      </c>
      <c r="S13" s="241">
        <f>G13</f>
        <v>49493.50645091755</v>
      </c>
      <c r="T13" s="245">
        <f>G36</f>
        <v>1.1027039256151312</v>
      </c>
      <c r="U13" s="241">
        <f t="shared" si="11"/>
        <v>54576.6838558846</v>
      </c>
      <c r="V13" s="232"/>
      <c r="W13" s="232"/>
      <c r="X13" s="233">
        <f t="shared" si="12"/>
        <v>1998</v>
      </c>
      <c r="Y13" s="241">
        <f>G50</f>
        <v>41112.07908410506</v>
      </c>
      <c r="Z13" s="245">
        <f>G73</f>
        <v>1.3110154979189568</v>
      </c>
      <c r="AA13" s="241">
        <f t="shared" si="13"/>
        <v>53898.572830931524</v>
      </c>
      <c r="AB13" s="232"/>
      <c r="AE13" s="233">
        <f t="shared" si="14"/>
        <v>1998</v>
      </c>
      <c r="AF13" s="234">
        <v>69510</v>
      </c>
      <c r="AG13" s="248">
        <v>0.8</v>
      </c>
      <c r="AH13" s="234">
        <f t="shared" si="15"/>
        <v>55608</v>
      </c>
      <c r="AI13" s="234"/>
      <c r="AJ13" s="245">
        <f>G37</f>
        <v>0.0931382606240736</v>
      </c>
      <c r="AK13" s="246">
        <f t="shared" si="16"/>
        <v>5179.232396783485</v>
      </c>
      <c r="AL13" s="234">
        <f>G13</f>
        <v>49493.50645091755</v>
      </c>
      <c r="AM13" s="234">
        <f t="shared" si="17"/>
        <v>54672.73884770103</v>
      </c>
      <c r="AN13" s="232"/>
      <c r="AO13" s="245">
        <f>G74</f>
        <v>0.23723251053297834</v>
      </c>
      <c r="AP13" s="246">
        <f t="shared" si="18"/>
        <v>13192.02544571786</v>
      </c>
      <c r="AQ13" s="234">
        <f>G50</f>
        <v>41112.07908410506</v>
      </c>
      <c r="AR13" s="234">
        <f t="shared" si="19"/>
        <v>54304.10452982292</v>
      </c>
      <c r="AS13" s="232"/>
      <c r="BE13" s="233">
        <f t="shared" si="0"/>
        <v>2000</v>
      </c>
      <c r="BF13" s="243">
        <f t="shared" si="2"/>
        <v>86840.81138637202</v>
      </c>
      <c r="BG13" s="243">
        <f t="shared" si="3"/>
        <v>84216.31667407429</v>
      </c>
      <c r="BH13" s="243">
        <f t="shared" si="4"/>
        <v>84211.56878821382</v>
      </c>
      <c r="BI13" s="243">
        <f t="shared" si="5"/>
        <v>80248.20488882474</v>
      </c>
      <c r="BJ13" s="232"/>
      <c r="BK13" s="243">
        <f t="shared" si="6"/>
        <v>83879.22543437121</v>
      </c>
      <c r="BL13" s="243">
        <f t="shared" si="7"/>
        <v>32538.319781392514</v>
      </c>
      <c r="BM13" s="243">
        <f t="shared" si="8"/>
        <v>14890.949348781694</v>
      </c>
      <c r="BN13" s="252">
        <f t="shared" si="9"/>
        <v>0.9061744827030264</v>
      </c>
      <c r="BO13" s="232"/>
    </row>
    <row r="14" spans="1:67" ht="12.75">
      <c r="A14" s="232"/>
      <c r="B14" s="233">
        <f t="shared" si="10"/>
        <v>1999</v>
      </c>
      <c r="C14" s="234">
        <v>33662.209710978575</v>
      </c>
      <c r="D14" s="234">
        <v>50269.16667778596</v>
      </c>
      <c r="E14" s="234">
        <v>58164.236165511975</v>
      </c>
      <c r="F14" s="234">
        <v>63443.53330280189</v>
      </c>
      <c r="G14" s="234"/>
      <c r="H14" s="234"/>
      <c r="I14" s="234"/>
      <c r="J14" s="234"/>
      <c r="K14" s="234"/>
      <c r="L14" s="234"/>
      <c r="M14" s="232"/>
      <c r="P14" s="18"/>
      <c r="R14" s="233">
        <f t="shared" si="1"/>
        <v>1999</v>
      </c>
      <c r="S14" s="241">
        <f>F14</f>
        <v>63443.53330280189</v>
      </c>
      <c r="T14" s="245">
        <f>F36</f>
        <v>1.1663971619536804</v>
      </c>
      <c r="U14" s="241">
        <f t="shared" si="11"/>
        <v>74000.35718870192</v>
      </c>
      <c r="V14" s="232"/>
      <c r="W14" s="232"/>
      <c r="X14" s="233">
        <f t="shared" si="12"/>
        <v>1999</v>
      </c>
      <c r="Y14" s="241">
        <f>F51</f>
        <v>51060.01404582643</v>
      </c>
      <c r="Z14" s="245">
        <f>F73</f>
        <v>1.4074315359953402</v>
      </c>
      <c r="AA14" s="241">
        <f t="shared" si="13"/>
        <v>71863.47399646114</v>
      </c>
      <c r="AB14" s="232"/>
      <c r="AE14" s="233">
        <f t="shared" si="14"/>
        <v>1999</v>
      </c>
      <c r="AF14" s="234">
        <v>86505</v>
      </c>
      <c r="AG14" s="248">
        <v>0.8</v>
      </c>
      <c r="AH14" s="234">
        <f t="shared" si="15"/>
        <v>69204</v>
      </c>
      <c r="AI14" s="234"/>
      <c r="AJ14" s="245">
        <f>F37</f>
        <v>0.14265909364437246</v>
      </c>
      <c r="AK14" s="246">
        <f t="shared" si="16"/>
        <v>9872.579916565152</v>
      </c>
      <c r="AL14" s="234">
        <f>F14</f>
        <v>63443.53330280189</v>
      </c>
      <c r="AM14" s="234">
        <f t="shared" si="17"/>
        <v>73316.11321936703</v>
      </c>
      <c r="AN14" s="232"/>
      <c r="AO14" s="245">
        <f>F74</f>
        <v>0.28948586526249986</v>
      </c>
      <c r="AP14" s="246">
        <f t="shared" si="18"/>
        <v>20033.57981962604</v>
      </c>
      <c r="AQ14" s="234">
        <f>F51</f>
        <v>51060.01404582643</v>
      </c>
      <c r="AR14" s="234">
        <f t="shared" si="19"/>
        <v>71093.59386545247</v>
      </c>
      <c r="AS14" s="232"/>
      <c r="BE14" s="233">
        <f t="shared" si="0"/>
        <v>2001</v>
      </c>
      <c r="BF14" s="243">
        <f t="shared" si="2"/>
        <v>77326.39381132732</v>
      </c>
      <c r="BG14" s="243">
        <f t="shared" si="3"/>
        <v>81561.66178297433</v>
      </c>
      <c r="BH14" s="243">
        <f t="shared" si="4"/>
        <v>77470.2481321657</v>
      </c>
      <c r="BI14" s="243">
        <f t="shared" si="5"/>
        <v>79521.43858338773</v>
      </c>
      <c r="BJ14" s="232"/>
      <c r="BK14" s="243">
        <f t="shared" si="6"/>
        <v>78969.93557746377</v>
      </c>
      <c r="BL14" s="243">
        <f t="shared" si="7"/>
        <v>41623.47659291867</v>
      </c>
      <c r="BM14" s="243">
        <f t="shared" si="8"/>
        <v>25222.45889011889</v>
      </c>
      <c r="BN14" s="252">
        <f t="shared" si="9"/>
        <v>0.8120493911677475</v>
      </c>
      <c r="BO14" s="232"/>
    </row>
    <row r="15" spans="1:67" ht="12.75">
      <c r="A15" s="232"/>
      <c r="B15" s="233">
        <f t="shared" si="10"/>
        <v>2000</v>
      </c>
      <c r="C15" s="234">
        <v>41554.088678498745</v>
      </c>
      <c r="D15" s="234">
        <v>60026.884070483815</v>
      </c>
      <c r="E15" s="234">
        <v>68988.27608558952</v>
      </c>
      <c r="F15" s="234"/>
      <c r="G15" s="234"/>
      <c r="H15" s="234"/>
      <c r="I15" s="234"/>
      <c r="J15" s="234"/>
      <c r="K15" s="234"/>
      <c r="L15" s="234"/>
      <c r="M15" s="232"/>
      <c r="P15" s="18"/>
      <c r="R15" s="233">
        <f t="shared" si="1"/>
        <v>2000</v>
      </c>
      <c r="S15" s="241">
        <f>E15</f>
        <v>68988.27608558952</v>
      </c>
      <c r="T15" s="245">
        <f>E36</f>
        <v>1.2587763648222483</v>
      </c>
      <c r="U15" s="241">
        <f t="shared" si="11"/>
        <v>86840.81138637202</v>
      </c>
      <c r="V15" s="232"/>
      <c r="W15" s="232"/>
      <c r="X15" s="233">
        <f t="shared" si="12"/>
        <v>2000</v>
      </c>
      <c r="Y15" s="241">
        <f>E52</f>
        <v>51340.9056529787</v>
      </c>
      <c r="Z15" s="245">
        <f>E73</f>
        <v>1.6403356271762266</v>
      </c>
      <c r="AA15" s="241">
        <f t="shared" si="13"/>
        <v>84216.31667407429</v>
      </c>
      <c r="AB15" s="232"/>
      <c r="AE15" s="233">
        <f t="shared" si="14"/>
        <v>2000</v>
      </c>
      <c r="AF15" s="234">
        <v>92564.1</v>
      </c>
      <c r="AG15" s="248">
        <v>0.8</v>
      </c>
      <c r="AH15" s="234">
        <f t="shared" si="15"/>
        <v>74051.28000000001</v>
      </c>
      <c r="AI15" s="234"/>
      <c r="AJ15" s="245">
        <f>E37</f>
        <v>0.20557771185892115</v>
      </c>
      <c r="AK15" s="246">
        <f t="shared" si="16"/>
        <v>15223.292702624294</v>
      </c>
      <c r="AL15" s="234">
        <f>E15</f>
        <v>68988.27608558952</v>
      </c>
      <c r="AM15" s="234">
        <f t="shared" si="17"/>
        <v>84211.56878821382</v>
      </c>
      <c r="AN15" s="232"/>
      <c r="AO15" s="245">
        <f>E74</f>
        <v>0.3903686639291858</v>
      </c>
      <c r="AP15" s="246">
        <f t="shared" si="18"/>
        <v>28907.299235846043</v>
      </c>
      <c r="AQ15" s="234">
        <f>E52</f>
        <v>51340.9056529787</v>
      </c>
      <c r="AR15" s="234">
        <f t="shared" si="19"/>
        <v>80248.20488882474</v>
      </c>
      <c r="AS15" s="232"/>
      <c r="BE15" s="233">
        <f t="shared" si="0"/>
        <v>2002</v>
      </c>
      <c r="BF15" s="243">
        <f t="shared" si="2"/>
        <v>68151.12126181019</v>
      </c>
      <c r="BG15" s="243">
        <f t="shared" si="3"/>
        <v>78353.12555075157</v>
      </c>
      <c r="BH15" s="243">
        <f t="shared" si="4"/>
        <v>77467.8827888286</v>
      </c>
      <c r="BI15" s="243">
        <f t="shared" si="5"/>
        <v>84473.75383844563</v>
      </c>
      <c r="BJ15" s="232"/>
      <c r="BK15" s="243">
        <f t="shared" si="6"/>
        <v>77111.470859959</v>
      </c>
      <c r="BL15" s="243">
        <f t="shared" si="7"/>
        <v>61226.52359413389</v>
      </c>
      <c r="BM15" s="243">
        <f t="shared" si="8"/>
        <v>44473.87769621959</v>
      </c>
      <c r="BN15" s="252">
        <f t="shared" si="9"/>
        <v>0.7170645351347388</v>
      </c>
      <c r="BO15" s="232"/>
    </row>
    <row r="16" spans="1:67" ht="12.75">
      <c r="A16" s="232"/>
      <c r="B16" s="233">
        <f t="shared" si="10"/>
        <v>2001</v>
      </c>
      <c r="C16" s="234">
        <v>37949.449462656754</v>
      </c>
      <c r="D16" s="234">
        <v>53747.476687344875</v>
      </c>
      <c r="E16" s="234"/>
      <c r="F16" s="234"/>
      <c r="G16" s="234"/>
      <c r="H16" s="234"/>
      <c r="I16" s="234"/>
      <c r="J16" s="234"/>
      <c r="K16" s="234"/>
      <c r="L16" s="234"/>
      <c r="M16" s="232"/>
      <c r="P16" s="18"/>
      <c r="R16" s="233">
        <f t="shared" si="1"/>
        <v>2001</v>
      </c>
      <c r="S16" s="241">
        <f>D16</f>
        <v>53747.476687344875</v>
      </c>
      <c r="T16" s="245">
        <f>D36</f>
        <v>1.4386981227257172</v>
      </c>
      <c r="U16" s="241">
        <f t="shared" si="11"/>
        <v>77326.39381132732</v>
      </c>
      <c r="V16" s="232"/>
      <c r="W16" s="232"/>
      <c r="X16" s="233">
        <f t="shared" si="12"/>
        <v>2001</v>
      </c>
      <c r="Y16" s="241">
        <f>D53</f>
        <v>37346.4589845451</v>
      </c>
      <c r="Z16" s="245">
        <f>D73</f>
        <v>2.183919546876629</v>
      </c>
      <c r="AA16" s="241">
        <f t="shared" si="13"/>
        <v>81561.66178297433</v>
      </c>
      <c r="AB16" s="232"/>
      <c r="AE16" s="233">
        <f t="shared" si="14"/>
        <v>2001</v>
      </c>
      <c r="AF16" s="234">
        <v>97247.7</v>
      </c>
      <c r="AG16" s="248">
        <v>0.8</v>
      </c>
      <c r="AH16" s="234">
        <f t="shared" si="15"/>
        <v>77798.16</v>
      </c>
      <c r="AI16" s="234"/>
      <c r="AJ16" s="245">
        <f>D37</f>
        <v>0.30492715309489105</v>
      </c>
      <c r="AK16" s="246">
        <f t="shared" si="16"/>
        <v>23722.771444820828</v>
      </c>
      <c r="AL16" s="234">
        <f>D16</f>
        <v>53747.476687344875</v>
      </c>
      <c r="AM16" s="234">
        <f t="shared" si="17"/>
        <v>77470.2481321657</v>
      </c>
      <c r="AN16" s="232"/>
      <c r="AO16" s="245">
        <f>D74</f>
        <v>0.542107674511102</v>
      </c>
      <c r="AP16" s="246">
        <f t="shared" si="18"/>
        <v>42174.979598842634</v>
      </c>
      <c r="AQ16" s="234">
        <f>D53</f>
        <v>37346.4589845451</v>
      </c>
      <c r="AR16" s="234">
        <f t="shared" si="19"/>
        <v>79521.43858338773</v>
      </c>
      <c r="AS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</row>
    <row r="17" spans="1:67" ht="13.5" thickBot="1">
      <c r="A17" s="232"/>
      <c r="B17" s="233">
        <f>curryr</f>
        <v>2002</v>
      </c>
      <c r="C17" s="234">
        <v>32637.593163739402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2"/>
      <c r="P17" s="18"/>
      <c r="R17" s="233">
        <f t="shared" si="1"/>
        <v>2002</v>
      </c>
      <c r="S17" s="241">
        <f>C17</f>
        <v>32637.593163739402</v>
      </c>
      <c r="T17" s="245">
        <f>C36</f>
        <v>2.0881172493297258</v>
      </c>
      <c r="U17" s="241">
        <f t="shared" si="11"/>
        <v>68151.12126181019</v>
      </c>
      <c r="V17" s="232"/>
      <c r="W17" s="232"/>
      <c r="X17" s="233">
        <f t="shared" si="12"/>
        <v>2002</v>
      </c>
      <c r="Y17" s="241">
        <f>C54</f>
        <v>15884.9472658251</v>
      </c>
      <c r="Z17" s="245">
        <f>C73</f>
        <v>4.932539229722255</v>
      </c>
      <c r="AA17" s="241">
        <f t="shared" si="13"/>
        <v>78353.12555075157</v>
      </c>
      <c r="AB17" s="232"/>
      <c r="AE17" s="233">
        <f t="shared" si="14"/>
        <v>2002</v>
      </c>
      <c r="AF17" s="234">
        <v>107537.7</v>
      </c>
      <c r="AG17" s="249">
        <v>0.8</v>
      </c>
      <c r="AH17" s="234">
        <f t="shared" si="15"/>
        <v>86030.16</v>
      </c>
      <c r="AI17" s="234"/>
      <c r="AJ17" s="245">
        <f>C37</f>
        <v>0.5210996890519464</v>
      </c>
      <c r="AK17" s="246">
        <f t="shared" si="16"/>
        <v>44830.28962508919</v>
      </c>
      <c r="AL17" s="234">
        <f>C17</f>
        <v>32637.593163739402</v>
      </c>
      <c r="AM17" s="234">
        <f t="shared" si="17"/>
        <v>77467.8827888286</v>
      </c>
      <c r="AN17" s="232"/>
      <c r="AO17" s="245">
        <f>C74</f>
        <v>0.7972646636089078</v>
      </c>
      <c r="AP17" s="246">
        <f t="shared" si="18"/>
        <v>68588.80657262052</v>
      </c>
      <c r="AQ17" s="234">
        <f>C54</f>
        <v>15884.9472658251</v>
      </c>
      <c r="AR17" s="234">
        <f t="shared" si="19"/>
        <v>84473.75383844563</v>
      </c>
      <c r="AS17" s="232"/>
      <c r="BE17" s="241" t="s">
        <v>8</v>
      </c>
      <c r="BF17" s="243">
        <f>SUM(BF6:BF15)</f>
        <v>515125.42719699955</v>
      </c>
      <c r="BG17" s="243">
        <f>SUM(BG6:BG15)</f>
        <v>522331.560603521</v>
      </c>
      <c r="BH17" s="243">
        <f>SUM(BH6:BH15)</f>
        <v>522364.4374119276</v>
      </c>
      <c r="BI17" s="243">
        <f>SUM(BI6:BI15)</f>
        <v>527137.9804833088</v>
      </c>
      <c r="BJ17" s="232"/>
      <c r="BK17" s="243">
        <f>SUM(BK6:BK15)</f>
        <v>521739.8514239392</v>
      </c>
      <c r="BL17" s="243">
        <f>SUM(BL6:BL15)</f>
        <v>189985.17710112082</v>
      </c>
      <c r="BM17" s="243">
        <f>SUM(BM6:BM15)</f>
        <v>103343.48075885477</v>
      </c>
      <c r="BN17" s="252">
        <f>BK17/AF19</f>
        <v>0.7342438153780868</v>
      </c>
      <c r="BO17" s="232"/>
    </row>
    <row r="18" spans="1:67" ht="12.7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P18" s="18"/>
      <c r="R18" s="232"/>
      <c r="S18" s="233"/>
      <c r="T18" s="232"/>
      <c r="U18" s="233"/>
      <c r="V18" s="232"/>
      <c r="W18" s="232"/>
      <c r="X18" s="232"/>
      <c r="Y18" s="233"/>
      <c r="Z18" s="233"/>
      <c r="AA18" s="233"/>
      <c r="AB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</row>
    <row r="19" spans="1:45" ht="12.75">
      <c r="A19" s="232"/>
      <c r="B19" s="233" t="str">
        <f aca="true" t="shared" si="20" ref="B19:B29">B6</f>
        <v>Accident</v>
      </c>
      <c r="C19" s="232"/>
      <c r="D19" s="232" t="s">
        <v>179</v>
      </c>
      <c r="E19" s="232"/>
      <c r="F19" s="232"/>
      <c r="G19" s="232"/>
      <c r="H19" s="232"/>
      <c r="I19" s="232"/>
      <c r="J19" s="232"/>
      <c r="K19" s="232"/>
      <c r="L19" s="232"/>
      <c r="M19" s="232"/>
      <c r="P19" s="18"/>
      <c r="R19" s="241" t="s">
        <v>8</v>
      </c>
      <c r="S19" s="242">
        <f>SUM(S8:S17)</f>
        <v>418396.3706650845</v>
      </c>
      <c r="T19" s="232"/>
      <c r="U19" s="242">
        <f>SUM(U8:U17)</f>
        <v>515125.42719699955</v>
      </c>
      <c r="V19" s="232"/>
      <c r="W19" s="232"/>
      <c r="X19" s="241" t="s">
        <v>8</v>
      </c>
      <c r="Y19" s="242">
        <f>SUM(Y8:Y17)</f>
        <v>331754.6743228184</v>
      </c>
      <c r="Z19" s="233"/>
      <c r="AA19" s="242">
        <f>SUM(AA8:AA17)</f>
        <v>522331.560603521</v>
      </c>
      <c r="AB19" s="232"/>
      <c r="AE19" s="241" t="s">
        <v>8</v>
      </c>
      <c r="AF19" s="243">
        <f>SUM(AF8:AF17)</f>
        <v>710581.1999999998</v>
      </c>
      <c r="AG19" s="241"/>
      <c r="AH19" s="243">
        <f>SUM(AH8:AH17)</f>
        <v>568464.9600000001</v>
      </c>
      <c r="AI19" s="243"/>
      <c r="AJ19" s="241"/>
      <c r="AK19" s="243">
        <f>SUM(AK8:AK17)</f>
        <v>103968.0667468431</v>
      </c>
      <c r="AL19" s="243">
        <f>SUM(AL8:AL17)</f>
        <v>418396.3706650845</v>
      </c>
      <c r="AM19" s="243">
        <f>SUM(AM8:AM17)</f>
        <v>522364.4374119276</v>
      </c>
      <c r="AN19" s="243"/>
      <c r="AO19" s="232"/>
      <c r="AP19" s="243">
        <f>SUM(AP8:AP17)</f>
        <v>195383.30616049038</v>
      </c>
      <c r="AQ19" s="243">
        <f>SUM(AQ8:AQ17)</f>
        <v>331754.6743228184</v>
      </c>
      <c r="AR19" s="243">
        <f>SUM(AR8:AR17)</f>
        <v>527137.9804833088</v>
      </c>
      <c r="AS19" s="232"/>
    </row>
    <row r="20" spans="1:58" ht="12.75">
      <c r="A20" s="232"/>
      <c r="B20" s="250" t="str">
        <f t="shared" si="20"/>
        <v>Year</v>
      </c>
      <c r="C20" s="250" t="str">
        <f aca="true" t="shared" si="21" ref="C20:K20">C7&amp;" - "&amp;D7</f>
        <v>12 - 24</v>
      </c>
      <c r="D20" s="250" t="str">
        <f t="shared" si="21"/>
        <v>24 - 36</v>
      </c>
      <c r="E20" s="250" t="str">
        <f t="shared" si="21"/>
        <v>36 - 48</v>
      </c>
      <c r="F20" s="250" t="str">
        <f t="shared" si="21"/>
        <v>48 - 60</v>
      </c>
      <c r="G20" s="250" t="str">
        <f t="shared" si="21"/>
        <v>60 - 72</v>
      </c>
      <c r="H20" s="250" t="str">
        <f t="shared" si="21"/>
        <v>72 - 84</v>
      </c>
      <c r="I20" s="250" t="str">
        <f t="shared" si="21"/>
        <v>84 - 96</v>
      </c>
      <c r="J20" s="250" t="str">
        <f t="shared" si="21"/>
        <v>96 - 108</v>
      </c>
      <c r="K20" s="250" t="str">
        <f t="shared" si="21"/>
        <v>108 - 120</v>
      </c>
      <c r="L20" s="250" t="str">
        <f>L7&amp;" - ULT"</f>
        <v>120 - ULT</v>
      </c>
      <c r="M20" s="232"/>
      <c r="P20" s="18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BF20" s="25" t="s">
        <v>224</v>
      </c>
    </row>
    <row r="21" spans="1:16" ht="12.75">
      <c r="A21" s="232"/>
      <c r="B21" s="233">
        <f t="shared" si="20"/>
        <v>1993</v>
      </c>
      <c r="C21" s="235">
        <f aca="true" t="shared" si="22" ref="C21:K21">D8/C8</f>
        <v>1.3783720974351192</v>
      </c>
      <c r="D21" s="235">
        <f t="shared" si="22"/>
        <v>1.0564434825394748</v>
      </c>
      <c r="E21" s="235">
        <f t="shared" si="22"/>
        <v>1.1108715406587608</v>
      </c>
      <c r="F21" s="235">
        <f t="shared" si="22"/>
        <v>1.0271614204625417</v>
      </c>
      <c r="G21" s="235">
        <f t="shared" si="22"/>
        <v>1.073502294939715</v>
      </c>
      <c r="H21" s="235">
        <f t="shared" si="22"/>
        <v>1.0278592823725394</v>
      </c>
      <c r="I21" s="235">
        <f t="shared" si="22"/>
        <v>1.008307809314887</v>
      </c>
      <c r="J21" s="235">
        <f t="shared" si="22"/>
        <v>1.00449104676923</v>
      </c>
      <c r="K21" s="235">
        <f t="shared" si="22"/>
        <v>1</v>
      </c>
      <c r="L21" s="235"/>
      <c r="M21" s="232"/>
      <c r="P21" s="18"/>
    </row>
    <row r="22" spans="1:32" ht="12.75">
      <c r="A22" s="232"/>
      <c r="B22" s="233">
        <f t="shared" si="20"/>
        <v>1994</v>
      </c>
      <c r="C22" s="235">
        <f aca="true" t="shared" si="23" ref="C22:J22">D9/C9</f>
        <v>1.2135214586012733</v>
      </c>
      <c r="D22" s="235">
        <f t="shared" si="23"/>
        <v>1.159480244203289</v>
      </c>
      <c r="E22" s="235">
        <f t="shared" si="23"/>
        <v>1.0560870416812287</v>
      </c>
      <c r="F22" s="235">
        <f t="shared" si="23"/>
        <v>1.1025401385530118</v>
      </c>
      <c r="G22" s="235">
        <f t="shared" si="23"/>
        <v>1.0262565059931001</v>
      </c>
      <c r="H22" s="235">
        <f t="shared" si="23"/>
        <v>0.9814345516925524</v>
      </c>
      <c r="I22" s="235">
        <f t="shared" si="23"/>
        <v>1.047357924588854</v>
      </c>
      <c r="J22" s="235">
        <f t="shared" si="23"/>
        <v>1.0212552078855008</v>
      </c>
      <c r="K22" s="235"/>
      <c r="L22" s="235"/>
      <c r="M22" s="232"/>
      <c r="P22" s="18"/>
      <c r="S22" s="25" t="s">
        <v>222</v>
      </c>
      <c r="AF22" s="25" t="s">
        <v>223</v>
      </c>
    </row>
    <row r="23" spans="1:16" ht="12.75">
      <c r="A23" s="232"/>
      <c r="B23" s="233">
        <f t="shared" si="20"/>
        <v>1995</v>
      </c>
      <c r="C23" s="235">
        <f aca="true" t="shared" si="24" ref="C23:I23">D10/C10</f>
        <v>1.2877224709981452</v>
      </c>
      <c r="D23" s="235">
        <f t="shared" si="24"/>
        <v>1.154888295603242</v>
      </c>
      <c r="E23" s="235">
        <f t="shared" si="24"/>
        <v>1.1022845415249507</v>
      </c>
      <c r="F23" s="235">
        <f t="shared" si="24"/>
        <v>1.0468032553875233</v>
      </c>
      <c r="G23" s="235">
        <f t="shared" si="24"/>
        <v>1.038203948622586</v>
      </c>
      <c r="H23" s="235">
        <f t="shared" si="24"/>
        <v>1.0477528430497935</v>
      </c>
      <c r="I23" s="235">
        <f t="shared" si="24"/>
        <v>1.029709747177822</v>
      </c>
      <c r="J23" s="235"/>
      <c r="K23" s="235"/>
      <c r="L23" s="235"/>
      <c r="M23" s="232"/>
      <c r="P23" s="23"/>
    </row>
    <row r="24" spans="1:13" ht="12.75">
      <c r="A24" s="232"/>
      <c r="B24" s="233">
        <f t="shared" si="20"/>
        <v>1996</v>
      </c>
      <c r="C24" s="235">
        <f aca="true" t="shared" si="25" ref="C24:C29">D11/C11</f>
        <v>1.581246943938546</v>
      </c>
      <c r="D24" s="235">
        <f>IF(OR(D11=0,E11=""),"",E11/D11)</f>
        <v>0.9628721690280974</v>
      </c>
      <c r="E24" s="235">
        <f>IF(OR(E11=0,F11=""),"",F11/E11)</f>
        <v>1.0691110076797765</v>
      </c>
      <c r="F24" s="235">
        <f>IF(OR(F11=0,G11=""),"",G11/F11)</f>
        <v>1.0447782636804333</v>
      </c>
      <c r="G24" s="235">
        <f>IF(OR(G11=0,H11=""),"",H11/G11)</f>
        <v>1.0362899193279551</v>
      </c>
      <c r="H24" s="235">
        <f>IF(OR(H11=0,I11=""),"",I11/H11)</f>
        <v>1.030965889671201</v>
      </c>
      <c r="I24" s="235"/>
      <c r="J24" s="235"/>
      <c r="K24" s="235"/>
      <c r="L24" s="235"/>
      <c r="M24" s="232"/>
    </row>
    <row r="25" spans="1:61" ht="12.75">
      <c r="A25" s="232"/>
      <c r="B25" s="233">
        <f t="shared" si="20"/>
        <v>1997</v>
      </c>
      <c r="C25" s="235">
        <f t="shared" si="25"/>
        <v>1.8083211646035988</v>
      </c>
      <c r="D25" s="235">
        <f aca="true" t="shared" si="26" ref="D25:G29">IF(OR(D12=0,E12=""),"",E12/D12)</f>
        <v>1.1701000573957248</v>
      </c>
      <c r="E25" s="235">
        <f t="shared" si="26"/>
        <v>1.0490137579125514</v>
      </c>
      <c r="F25" s="235">
        <f t="shared" si="26"/>
        <v>1.0686219537621633</v>
      </c>
      <c r="G25" s="235">
        <f t="shared" si="26"/>
        <v>1.0387735811528838</v>
      </c>
      <c r="H25" s="235">
        <f>IF(OR(H12=0,L12=""),"",L12/H12)</f>
      </c>
      <c r="I25" s="235"/>
      <c r="J25" s="235"/>
      <c r="K25" s="235"/>
      <c r="L25" s="235"/>
      <c r="M25" s="232"/>
      <c r="BF25" s="8"/>
      <c r="BG25" s="8" t="s">
        <v>180</v>
      </c>
      <c r="BH25" s="8"/>
      <c r="BI25" s="8"/>
    </row>
    <row r="26" spans="1:66" ht="12.75">
      <c r="A26" s="232"/>
      <c r="B26" s="233">
        <f t="shared" si="20"/>
        <v>1998</v>
      </c>
      <c r="C26" s="235">
        <f t="shared" si="25"/>
        <v>1.4509109607126478</v>
      </c>
      <c r="D26" s="235">
        <f t="shared" si="26"/>
        <v>1.1224560166738182</v>
      </c>
      <c r="E26" s="235">
        <f t="shared" si="26"/>
        <v>1.0978223026248422</v>
      </c>
      <c r="F26" s="235">
        <f t="shared" si="26"/>
        <v>1.0598826598347786</v>
      </c>
      <c r="G26" s="235">
        <f t="shared" si="26"/>
      </c>
      <c r="H26" s="235">
        <f>IF(OR(H13=0,L13=""),"",L13/H13)</f>
      </c>
      <c r="I26" s="235"/>
      <c r="J26" s="235"/>
      <c r="K26" s="235"/>
      <c r="L26" s="235"/>
      <c r="M26" s="232"/>
      <c r="BE26" s="19" t="str">
        <f aca="true" t="shared" si="27" ref="BE26:BE37">BE4</f>
        <v>Accident</v>
      </c>
      <c r="BF26" s="19" t="s">
        <v>23</v>
      </c>
      <c r="BG26" s="19" t="s">
        <v>32</v>
      </c>
      <c r="BH26" s="19" t="s">
        <v>23</v>
      </c>
      <c r="BI26" s="19" t="s">
        <v>32</v>
      </c>
      <c r="BK26" s="19"/>
      <c r="BL26" s="19"/>
      <c r="BM26" s="19"/>
      <c r="BN26" s="19"/>
    </row>
    <row r="27" spans="1:66" ht="12.75">
      <c r="A27" s="232"/>
      <c r="B27" s="233">
        <f t="shared" si="20"/>
        <v>1999</v>
      </c>
      <c r="C27" s="235">
        <f t="shared" si="25"/>
        <v>1.4933412604042806</v>
      </c>
      <c r="D27" s="235">
        <f t="shared" si="26"/>
        <v>1.1570559054287022</v>
      </c>
      <c r="E27" s="235">
        <f t="shared" si="26"/>
        <v>1.090765348009852</v>
      </c>
      <c r="F27" s="235">
        <f t="shared" si="26"/>
      </c>
      <c r="G27" s="235">
        <f t="shared" si="26"/>
      </c>
      <c r="H27" s="235">
        <f>IF(OR(H14=0,L14=""),"",L14/H14)</f>
      </c>
      <c r="I27" s="235"/>
      <c r="J27" s="235"/>
      <c r="K27" s="235"/>
      <c r="L27" s="235"/>
      <c r="M27" s="232"/>
      <c r="BE27" s="20" t="str">
        <f t="shared" si="27"/>
        <v>Year</v>
      </c>
      <c r="BF27" s="20" t="s">
        <v>173</v>
      </c>
      <c r="BG27" s="20" t="s">
        <v>173</v>
      </c>
      <c r="BH27" s="20" t="s">
        <v>174</v>
      </c>
      <c r="BI27" s="20" t="s">
        <v>174</v>
      </c>
      <c r="BK27" s="20"/>
      <c r="BL27" s="20"/>
      <c r="BM27" s="20"/>
      <c r="BN27" s="20"/>
    </row>
    <row r="28" spans="1:66" ht="12.75">
      <c r="A28" s="232"/>
      <c r="B28" s="233">
        <f t="shared" si="20"/>
        <v>2000</v>
      </c>
      <c r="C28" s="235">
        <f t="shared" si="25"/>
        <v>1.4445482016200109</v>
      </c>
      <c r="D28" s="235">
        <f t="shared" si="26"/>
        <v>1.1492896416975966</v>
      </c>
      <c r="E28" s="235">
        <f t="shared" si="26"/>
      </c>
      <c r="F28" s="235">
        <f t="shared" si="26"/>
      </c>
      <c r="G28" s="235">
        <f t="shared" si="26"/>
      </c>
      <c r="H28" s="235">
        <f>IF(OR(H15=0,L15=""),"",L15/H15)</f>
      </c>
      <c r="I28" s="235"/>
      <c r="J28" s="235"/>
      <c r="K28" s="235"/>
      <c r="L28" s="235"/>
      <c r="M28" s="232"/>
      <c r="BE28" s="19">
        <f t="shared" si="27"/>
        <v>1993</v>
      </c>
      <c r="BF28" s="14">
        <f aca="true" t="shared" si="28" ref="BF28:BF37">BF6-AQ8</f>
        <v>540.7246653873044</v>
      </c>
      <c r="BG28" s="14">
        <f aca="true" t="shared" si="29" ref="BG28:BG37">BG6-AQ8</f>
        <v>605.7844303456586</v>
      </c>
      <c r="BH28" s="14">
        <f aca="true" t="shared" si="30" ref="BH28:BH37">BH6-AQ8</f>
        <v>540.7246653873044</v>
      </c>
      <c r="BI28" s="14">
        <f aca="true" t="shared" si="31" ref="BI28:BI37">BI6-AQ8</f>
        <v>912.544197545496</v>
      </c>
      <c r="BK28" s="14"/>
      <c r="BL28" s="14"/>
      <c r="BM28" s="14"/>
      <c r="BN28" s="21"/>
    </row>
    <row r="29" spans="1:66" ht="12.75">
      <c r="A29" s="232"/>
      <c r="B29" s="233">
        <f t="shared" si="20"/>
        <v>2001</v>
      </c>
      <c r="C29" s="235">
        <f t="shared" si="25"/>
        <v>1.4162913414655407</v>
      </c>
      <c r="D29" s="235">
        <f t="shared" si="26"/>
      </c>
      <c r="E29" s="235">
        <f t="shared" si="26"/>
      </c>
      <c r="F29" s="235">
        <f t="shared" si="26"/>
      </c>
      <c r="G29" s="235">
        <f t="shared" si="26"/>
      </c>
      <c r="H29" s="235">
        <f>IF(OR(H16=0,L16=""),"",L16/H16)</f>
      </c>
      <c r="I29" s="235"/>
      <c r="J29" s="235"/>
      <c r="K29" s="235"/>
      <c r="L29" s="235"/>
      <c r="M29" s="232"/>
      <c r="BE29" s="19">
        <f t="shared" si="27"/>
        <v>1994</v>
      </c>
      <c r="BF29" s="14">
        <f t="shared" si="28"/>
        <v>1297.7077714720326</v>
      </c>
      <c r="BG29" s="14">
        <f t="shared" si="29"/>
        <v>1163.4943401414675</v>
      </c>
      <c r="BH29" s="14">
        <f t="shared" si="30"/>
        <v>1297.7077714720326</v>
      </c>
      <c r="BI29" s="14">
        <f t="shared" si="31"/>
        <v>1781.6601460386082</v>
      </c>
      <c r="BK29" s="14"/>
      <c r="BL29" s="14"/>
      <c r="BM29" s="14"/>
      <c r="BN29" s="21"/>
    </row>
    <row r="30" spans="1:66" ht="12.75">
      <c r="A30" s="232"/>
      <c r="B30" s="233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BE30" s="19">
        <f t="shared" si="27"/>
        <v>1995</v>
      </c>
      <c r="BF30" s="14">
        <f t="shared" si="28"/>
        <v>3523.943108857253</v>
      </c>
      <c r="BG30" s="14">
        <f t="shared" si="29"/>
        <v>2950.3073764912515</v>
      </c>
      <c r="BH30" s="14">
        <f t="shared" si="30"/>
        <v>3610.1165463033904</v>
      </c>
      <c r="BI30" s="14">
        <f t="shared" si="31"/>
        <v>3675.13123448053</v>
      </c>
      <c r="BK30" s="14"/>
      <c r="BL30" s="14"/>
      <c r="BM30" s="14"/>
      <c r="BN30" s="21"/>
    </row>
    <row r="31" spans="1:66" ht="12.75">
      <c r="A31" s="232"/>
      <c r="B31" s="236" t="s">
        <v>181</v>
      </c>
      <c r="C31" s="237">
        <f aca="true" t="shared" si="32" ref="C31:K31">AVERAGE(C21:C29)</f>
        <v>1.4526973221976849</v>
      </c>
      <c r="D31" s="237">
        <f t="shared" si="32"/>
        <v>1.1165732265712431</v>
      </c>
      <c r="E31" s="237">
        <f t="shared" si="32"/>
        <v>1.0822793628702805</v>
      </c>
      <c r="F31" s="237">
        <f t="shared" si="32"/>
        <v>1.0582979486134088</v>
      </c>
      <c r="G31" s="237">
        <f t="shared" si="32"/>
        <v>1.0426052500072482</v>
      </c>
      <c r="H31" s="237">
        <f t="shared" si="32"/>
        <v>1.0220031416965216</v>
      </c>
      <c r="I31" s="237">
        <f t="shared" si="32"/>
        <v>1.0284584936938543</v>
      </c>
      <c r="J31" s="237">
        <f t="shared" si="32"/>
        <v>1.0128731273273655</v>
      </c>
      <c r="K31" s="237">
        <f t="shared" si="32"/>
        <v>1</v>
      </c>
      <c r="L31" s="232"/>
      <c r="M31" s="232"/>
      <c r="BE31" s="19">
        <f t="shared" si="27"/>
        <v>1996</v>
      </c>
      <c r="BF31" s="14">
        <f t="shared" si="28"/>
        <v>4890.53246185902</v>
      </c>
      <c r="BG31" s="14">
        <f t="shared" si="29"/>
        <v>4571.38389593126</v>
      </c>
      <c r="BH31" s="14">
        <f t="shared" si="30"/>
        <v>5306.6354534241</v>
      </c>
      <c r="BI31" s="14">
        <f t="shared" si="31"/>
        <v>6216.894416198007</v>
      </c>
      <c r="BK31" s="14"/>
      <c r="BL31" s="14"/>
      <c r="BM31" s="14"/>
      <c r="BN31" s="21"/>
    </row>
    <row r="32" spans="1:66" ht="12.75">
      <c r="A32" s="232"/>
      <c r="B32" s="232" t="s">
        <v>182</v>
      </c>
      <c r="C32" s="237">
        <f>AVERAGE(C27:C29)</f>
        <v>1.4513936011632775</v>
      </c>
      <c r="D32" s="237">
        <f>AVERAGE(D26:D28)</f>
        <v>1.142933854600039</v>
      </c>
      <c r="E32" s="237">
        <f>AVERAGE(E25:E27)</f>
        <v>1.0792004695157484</v>
      </c>
      <c r="F32" s="237">
        <f>AVERAGE(F24:F26)</f>
        <v>1.0577609590924586</v>
      </c>
      <c r="G32" s="237">
        <f>AVERAGE(G23:G25)</f>
        <v>1.0377558163678084</v>
      </c>
      <c r="H32" s="237">
        <f>AVERAGE(H22:H24)</f>
        <v>1.0200510948045156</v>
      </c>
      <c r="I32" s="237">
        <f>AVERAGE(I21:I23)</f>
        <v>1.0284584936938543</v>
      </c>
      <c r="J32" s="232"/>
      <c r="K32" s="232"/>
      <c r="L32" s="232"/>
      <c r="M32" s="232"/>
      <c r="BE32" s="19">
        <f t="shared" si="27"/>
        <v>1997</v>
      </c>
      <c r="BF32" s="14">
        <f t="shared" si="28"/>
        <v>8966.882395789937</v>
      </c>
      <c r="BG32" s="14">
        <f t="shared" si="29"/>
        <v>8137.170435880551</v>
      </c>
      <c r="BH32" s="14">
        <f t="shared" si="30"/>
        <v>9460.431909526567</v>
      </c>
      <c r="BI32" s="14">
        <f t="shared" si="31"/>
        <v>9900.385493574628</v>
      </c>
      <c r="BK32" s="14"/>
      <c r="BL32" s="14"/>
      <c r="BM32" s="14"/>
      <c r="BN32" s="21"/>
    </row>
    <row r="33" spans="1:66" ht="12.75">
      <c r="A33" s="232"/>
      <c r="B33" s="232" t="s">
        <v>183</v>
      </c>
      <c r="C33" s="237">
        <f>(SUM(C21:C29)-MIN(C21:C29)-MAX(C21:C29))/(COUNT(C21:C29)-2)</f>
        <v>1.4360618966534702</v>
      </c>
      <c r="D33" s="237">
        <f>(SUM(D21:D28)-MIN(D21:D28)-MAX(D21:D28))/(COUNT(D21:D28)-2)</f>
        <v>1.1332689310243538</v>
      </c>
      <c r="E33" s="237">
        <f>(SUM(E21:E27)-MIN(E21:E27)-MAX(E21:E27))/(COUNT(E21:E27)-2)</f>
        <v>1.0832140483041302</v>
      </c>
      <c r="F33" s="237">
        <f>(SUM(F21:F26)-MIN(F21:F26)-MAX(F21:F26))/(COUNT(F21:F26)-2)</f>
        <v>1.0550215331662247</v>
      </c>
      <c r="G33" s="237">
        <f>(SUM(G21:G25)-MIN(G21:G25)-MAX(G21:G25))/(COUNT(G21:G25)-2)</f>
        <v>1.0377558163678087</v>
      </c>
      <c r="H33" s="237">
        <f>(SUM(H21:H24)-MIN(H21:H24)-MAX(H21:H24))/(COUNT(H21:H24)-2)</f>
        <v>1.0294125860218704</v>
      </c>
      <c r="I33" s="232"/>
      <c r="J33" s="232"/>
      <c r="K33" s="232"/>
      <c r="L33" s="232"/>
      <c r="M33" s="232"/>
      <c r="BE33" s="19">
        <f t="shared" si="27"/>
        <v>1998</v>
      </c>
      <c r="BF33" s="14">
        <f t="shared" si="28"/>
        <v>13464.604771779537</v>
      </c>
      <c r="BG33" s="14">
        <f t="shared" si="29"/>
        <v>12786.493746826462</v>
      </c>
      <c r="BH33" s="14">
        <f t="shared" si="30"/>
        <v>13560.65976359597</v>
      </c>
      <c r="BI33" s="14">
        <f t="shared" si="31"/>
        <v>13192.02544571786</v>
      </c>
      <c r="BK33" s="14"/>
      <c r="BL33" s="14"/>
      <c r="BM33" s="14"/>
      <c r="BN33" s="21"/>
    </row>
    <row r="34" spans="1:66" ht="12.75">
      <c r="A34" s="232"/>
      <c r="B34" s="232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2"/>
      <c r="BE34" s="19">
        <f t="shared" si="27"/>
        <v>1999</v>
      </c>
      <c r="BF34" s="14">
        <f t="shared" si="28"/>
        <v>22940.343142875492</v>
      </c>
      <c r="BG34" s="14">
        <f t="shared" si="29"/>
        <v>20803.459950634708</v>
      </c>
      <c r="BH34" s="14">
        <f t="shared" si="30"/>
        <v>22256.099173540606</v>
      </c>
      <c r="BI34" s="14">
        <f t="shared" si="31"/>
        <v>20033.579819626037</v>
      </c>
      <c r="BK34" s="14"/>
      <c r="BL34" s="14"/>
      <c r="BM34" s="14"/>
      <c r="BN34" s="21"/>
    </row>
    <row r="35" spans="1:66" ht="12.75">
      <c r="A35" s="232"/>
      <c r="B35" s="253" t="s">
        <v>83</v>
      </c>
      <c r="C35" s="254">
        <f aca="true" t="shared" si="33" ref="C35:I35">C32</f>
        <v>1.4513936011632775</v>
      </c>
      <c r="D35" s="254">
        <f t="shared" si="33"/>
        <v>1.142933854600039</v>
      </c>
      <c r="E35" s="254">
        <f t="shared" si="33"/>
        <v>1.0792004695157484</v>
      </c>
      <c r="F35" s="254">
        <f t="shared" si="33"/>
        <v>1.0577609590924586</v>
      </c>
      <c r="G35" s="254">
        <f t="shared" si="33"/>
        <v>1.0377558163678084</v>
      </c>
      <c r="H35" s="254">
        <f t="shared" si="33"/>
        <v>1.0200510948045156</v>
      </c>
      <c r="I35" s="254">
        <f t="shared" si="33"/>
        <v>1.0284584936938543</v>
      </c>
      <c r="J35" s="254">
        <f>J31</f>
        <v>1.0128731273273655</v>
      </c>
      <c r="K35" s="254">
        <f>K31</f>
        <v>1</v>
      </c>
      <c r="L35" s="254">
        <f>K35</f>
        <v>1</v>
      </c>
      <c r="M35" s="232"/>
      <c r="BE35" s="19">
        <f t="shared" si="27"/>
        <v>2000</v>
      </c>
      <c r="BF35" s="14">
        <f t="shared" si="28"/>
        <v>35499.90573339332</v>
      </c>
      <c r="BG35" s="14">
        <f t="shared" si="29"/>
        <v>32875.41102109559</v>
      </c>
      <c r="BH35" s="14">
        <f t="shared" si="30"/>
        <v>32870.66313523512</v>
      </c>
      <c r="BI35" s="14">
        <f t="shared" si="31"/>
        <v>28907.29923584604</v>
      </c>
      <c r="BK35" s="14"/>
      <c r="BL35" s="14"/>
      <c r="BM35" s="14"/>
      <c r="BN35" s="21"/>
    </row>
    <row r="36" spans="1:66" ht="12.75">
      <c r="A36" s="232"/>
      <c r="B36" s="232" t="s">
        <v>184</v>
      </c>
      <c r="C36" s="238">
        <f>PRODUCT(C35:$L35)</f>
        <v>2.0881172493297258</v>
      </c>
      <c r="D36" s="238">
        <f>PRODUCT(D35:$L35)</f>
        <v>1.4386981227257172</v>
      </c>
      <c r="E36" s="238">
        <f>PRODUCT(E35:$L35)</f>
        <v>1.2587763648222483</v>
      </c>
      <c r="F36" s="238">
        <f>PRODUCT(F35:$L35)</f>
        <v>1.1663971619536804</v>
      </c>
      <c r="G36" s="238">
        <f>PRODUCT(G35:$L35)</f>
        <v>1.1027039256151312</v>
      </c>
      <c r="H36" s="238">
        <f>PRODUCT(H35:$L35)</f>
        <v>1.0625851556049515</v>
      </c>
      <c r="I36" s="238">
        <f>PRODUCT(I35:$L35)</f>
        <v>1.0416979708340859</v>
      </c>
      <c r="J36" s="238">
        <f>PRODUCT(J35:$L35)</f>
        <v>1.0128731273273655</v>
      </c>
      <c r="K36" s="238">
        <f>PRODUCT(K35:$L35)</f>
        <v>1</v>
      </c>
      <c r="L36" s="238">
        <f>L35</f>
        <v>1</v>
      </c>
      <c r="M36" s="232"/>
      <c r="BE36" s="19">
        <f t="shared" si="27"/>
        <v>2001</v>
      </c>
      <c r="BF36" s="14">
        <f t="shared" si="28"/>
        <v>39979.93482678222</v>
      </c>
      <c r="BG36" s="14">
        <f t="shared" si="29"/>
        <v>44215.202798429236</v>
      </c>
      <c r="BH36" s="14">
        <f t="shared" si="30"/>
        <v>40123.7891476206</v>
      </c>
      <c r="BI36" s="14">
        <f t="shared" si="31"/>
        <v>42174.979598842634</v>
      </c>
      <c r="BK36" s="14"/>
      <c r="BL36" s="14"/>
      <c r="BM36" s="14"/>
      <c r="BN36" s="21"/>
    </row>
    <row r="37" spans="1:66" ht="12.75">
      <c r="A37" s="232"/>
      <c r="B37" s="232" t="s">
        <v>185</v>
      </c>
      <c r="C37" s="239">
        <f aca="true" t="shared" si="34" ref="C37:L37">1-1/C36</f>
        <v>0.5210996890519464</v>
      </c>
      <c r="D37" s="239">
        <f t="shared" si="34"/>
        <v>0.30492715309489105</v>
      </c>
      <c r="E37" s="239">
        <f t="shared" si="34"/>
        <v>0.20557771185892115</v>
      </c>
      <c r="F37" s="239">
        <f t="shared" si="34"/>
        <v>0.14265909364437246</v>
      </c>
      <c r="G37" s="239">
        <f t="shared" si="34"/>
        <v>0.0931382606240736</v>
      </c>
      <c r="H37" s="239">
        <f t="shared" si="34"/>
        <v>0.058898955321204816</v>
      </c>
      <c r="I37" s="239">
        <f t="shared" si="34"/>
        <v>0.04002884905372173</v>
      </c>
      <c r="J37" s="239">
        <f t="shared" si="34"/>
        <v>0.012709516108234897</v>
      </c>
      <c r="K37" s="239">
        <f t="shared" si="34"/>
        <v>0</v>
      </c>
      <c r="L37" s="239">
        <f t="shared" si="34"/>
        <v>0</v>
      </c>
      <c r="M37" s="232"/>
      <c r="BE37" s="19">
        <f t="shared" si="27"/>
        <v>2002</v>
      </c>
      <c r="BF37" s="14">
        <f t="shared" si="28"/>
        <v>52266.17399598508</v>
      </c>
      <c r="BG37" s="14">
        <f t="shared" si="29"/>
        <v>62468.17828492647</v>
      </c>
      <c r="BH37" s="14">
        <f t="shared" si="30"/>
        <v>61582.9355230035</v>
      </c>
      <c r="BI37" s="14">
        <f t="shared" si="31"/>
        <v>68588.80657262052</v>
      </c>
      <c r="BK37" s="14"/>
      <c r="BL37" s="14"/>
      <c r="BM37" s="14"/>
      <c r="BN37" s="21"/>
    </row>
    <row r="38" spans="1:13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39" spans="1:66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BE39" s="22" t="s">
        <v>8</v>
      </c>
      <c r="BF39" s="14">
        <f>SUM(BF28:BF37)</f>
        <v>183370.7528741812</v>
      </c>
      <c r="BG39" s="14">
        <f>SUM(BG28:BG37)</f>
        <v>190576.88628070266</v>
      </c>
      <c r="BH39" s="14">
        <f>SUM(BH28:BH37)</f>
        <v>190609.76308910918</v>
      </c>
      <c r="BI39" s="14">
        <f>SUM(BI28:BI37)</f>
        <v>195383.30616049038</v>
      </c>
      <c r="BK39" s="14"/>
      <c r="BL39" s="14"/>
      <c r="BM39" s="14"/>
      <c r="BN39" s="21"/>
    </row>
    <row r="40" spans="1:13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 ht="12.75">
      <c r="A41" s="232"/>
      <c r="B41" s="232" t="s">
        <v>220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1:13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</row>
    <row r="43" spans="1:13" ht="12.75">
      <c r="A43" s="232"/>
      <c r="B43" s="233" t="s">
        <v>34</v>
      </c>
      <c r="C43" s="232" t="str">
        <f>C6</f>
        <v>Line B:</v>
      </c>
      <c r="D43" s="232" t="s">
        <v>186</v>
      </c>
      <c r="E43" s="232"/>
      <c r="F43" s="232"/>
      <c r="G43" s="232"/>
      <c r="H43" s="232"/>
      <c r="I43" s="232"/>
      <c r="J43" s="232"/>
      <c r="K43" s="232"/>
      <c r="L43" s="232"/>
      <c r="M43" s="232"/>
    </row>
    <row r="44" spans="1:13" ht="12.75">
      <c r="A44" s="232"/>
      <c r="B44" s="250" t="s">
        <v>39</v>
      </c>
      <c r="C44" s="250">
        <v>12</v>
      </c>
      <c r="D44" s="250">
        <f>C44+12</f>
        <v>24</v>
      </c>
      <c r="E44" s="250">
        <f>D44+12</f>
        <v>36</v>
      </c>
      <c r="F44" s="250">
        <f>E44+12</f>
        <v>48</v>
      </c>
      <c r="G44" s="250">
        <f>F44+12</f>
        <v>60</v>
      </c>
      <c r="H44" s="250">
        <f>G44+12</f>
        <v>72</v>
      </c>
      <c r="I44" s="250">
        <v>84</v>
      </c>
      <c r="J44" s="250">
        <v>96</v>
      </c>
      <c r="K44" s="250">
        <v>108</v>
      </c>
      <c r="L44" s="250">
        <v>120</v>
      </c>
      <c r="M44" s="232"/>
    </row>
    <row r="45" spans="1:13" ht="12.75">
      <c r="A45" s="232"/>
      <c r="B45" s="233">
        <f aca="true" t="shared" si="35" ref="B45:B53">B46-1</f>
        <v>1993</v>
      </c>
      <c r="C45" s="234">
        <v>5200.51336340139</v>
      </c>
      <c r="D45" s="234">
        <v>11280.8508400223</v>
      </c>
      <c r="E45" s="234">
        <v>15474.4183251182</v>
      </c>
      <c r="F45" s="234">
        <v>17947.4506734466</v>
      </c>
      <c r="G45" s="234">
        <v>19932.2243763962</v>
      </c>
      <c r="H45" s="234">
        <v>20755.6506252273</v>
      </c>
      <c r="I45" s="234">
        <v>21863.946433558</v>
      </c>
      <c r="J45" s="234">
        <v>23021.711583671</v>
      </c>
      <c r="K45" s="234">
        <v>24280.9535057214</v>
      </c>
      <c r="L45" s="234">
        <v>24872.3344089321</v>
      </c>
      <c r="M45" s="232"/>
    </row>
    <row r="46" spans="1:13" ht="12.75">
      <c r="A46" s="232"/>
      <c r="B46" s="233">
        <f t="shared" si="35"/>
        <v>1994</v>
      </c>
      <c r="C46" s="234">
        <v>4582.48282478226</v>
      </c>
      <c r="D46" s="234">
        <v>10972.550352346</v>
      </c>
      <c r="E46" s="234">
        <v>14490.5276795019</v>
      </c>
      <c r="F46" s="234">
        <v>16659.741202849</v>
      </c>
      <c r="G46" s="234">
        <v>18759.2124477351</v>
      </c>
      <c r="H46" s="234">
        <v>20149.2901141305</v>
      </c>
      <c r="I46" s="234">
        <v>20988.4037806835</v>
      </c>
      <c r="J46" s="234">
        <v>22267.9296539097</v>
      </c>
      <c r="K46" s="234">
        <v>23598.0371175816</v>
      </c>
      <c r="L46" s="234"/>
      <c r="M46" s="232"/>
    </row>
    <row r="47" spans="1:13" ht="12.75">
      <c r="A47" s="232"/>
      <c r="B47" s="233">
        <f t="shared" si="35"/>
        <v>1995</v>
      </c>
      <c r="C47" s="234">
        <v>6805.12929421627</v>
      </c>
      <c r="D47" s="234">
        <v>13205.6344921395</v>
      </c>
      <c r="E47" s="234">
        <v>17021.4341032654</v>
      </c>
      <c r="F47" s="234">
        <v>20159.3763861682</v>
      </c>
      <c r="G47" s="234">
        <v>22384.8304367675</v>
      </c>
      <c r="H47" s="234">
        <v>23611.9470353016</v>
      </c>
      <c r="I47" s="234">
        <v>24958.869735466</v>
      </c>
      <c r="J47" s="234">
        <v>26982.7072811182</v>
      </c>
      <c r="K47" s="234"/>
      <c r="L47" s="234"/>
      <c r="M47" s="232"/>
    </row>
    <row r="48" spans="1:13" ht="12.75">
      <c r="A48" s="232"/>
      <c r="B48" s="233">
        <f t="shared" si="35"/>
        <v>1996</v>
      </c>
      <c r="C48" s="234">
        <v>7264.37889880645</v>
      </c>
      <c r="D48" s="234">
        <v>17023.0840721045</v>
      </c>
      <c r="E48" s="234">
        <v>20842.7988390399</v>
      </c>
      <c r="F48" s="234">
        <v>21935.7883647541</v>
      </c>
      <c r="G48" s="234">
        <v>22864.8907034147</v>
      </c>
      <c r="H48" s="234">
        <v>24181.6466186302</v>
      </c>
      <c r="I48" s="234">
        <v>25193.7499528065</v>
      </c>
      <c r="J48" s="234"/>
      <c r="K48" s="234"/>
      <c r="L48" s="234"/>
      <c r="M48" s="232"/>
    </row>
    <row r="49" spans="1:13" ht="12.75">
      <c r="A49" s="232"/>
      <c r="B49" s="233">
        <f t="shared" si="35"/>
        <v>1997</v>
      </c>
      <c r="C49" s="234">
        <v>8718.7701986758</v>
      </c>
      <c r="D49" s="234">
        <v>18814.953174238686</v>
      </c>
      <c r="E49" s="234">
        <v>25504.117760532474</v>
      </c>
      <c r="F49" s="234">
        <v>29622.242765134222</v>
      </c>
      <c r="G49" s="234">
        <v>32187.036003373996</v>
      </c>
      <c r="H49" s="234">
        <v>34363.4405290996</v>
      </c>
      <c r="I49" s="234"/>
      <c r="J49" s="234"/>
      <c r="K49" s="234"/>
      <c r="L49" s="234"/>
      <c r="M49" s="232"/>
    </row>
    <row r="50" spans="1:13" ht="12.75">
      <c r="A50" s="232"/>
      <c r="B50" s="233">
        <f t="shared" si="35"/>
        <v>1998</v>
      </c>
      <c r="C50" s="234">
        <v>11496.3942307692</v>
      </c>
      <c r="D50" s="234">
        <v>24875.7940305827</v>
      </c>
      <c r="E50" s="234">
        <v>32350.400393856045</v>
      </c>
      <c r="F50" s="234">
        <v>37659.109592074085</v>
      </c>
      <c r="G50" s="234">
        <v>41112.07908410506</v>
      </c>
      <c r="H50" s="234"/>
      <c r="I50" s="234"/>
      <c r="J50" s="234"/>
      <c r="K50" s="234"/>
      <c r="L50" s="234"/>
      <c r="M50" s="232"/>
    </row>
    <row r="51" spans="1:13" ht="12.75">
      <c r="A51" s="232"/>
      <c r="B51" s="233">
        <f t="shared" si="35"/>
        <v>1999</v>
      </c>
      <c r="C51" s="234">
        <v>14630.769393420014</v>
      </c>
      <c r="D51" s="234">
        <v>32462.255212225085</v>
      </c>
      <c r="E51" s="234">
        <v>43608.39993255248</v>
      </c>
      <c r="F51" s="234">
        <v>51060.01404582643</v>
      </c>
      <c r="G51" s="234"/>
      <c r="H51" s="234"/>
      <c r="I51" s="234"/>
      <c r="J51" s="234"/>
      <c r="K51" s="234"/>
      <c r="L51" s="234"/>
      <c r="M51" s="232"/>
    </row>
    <row r="52" spans="1:13" ht="12.75">
      <c r="A52" s="232"/>
      <c r="B52" s="233">
        <f t="shared" si="35"/>
        <v>2000</v>
      </c>
      <c r="C52" s="234">
        <v>16978.19456110106</v>
      </c>
      <c r="D52" s="234">
        <v>38021.197624632594</v>
      </c>
      <c r="E52" s="234">
        <v>51340.9056529787</v>
      </c>
      <c r="F52" s="234"/>
      <c r="G52" s="234"/>
      <c r="H52" s="234"/>
      <c r="I52" s="234"/>
      <c r="J52" s="234"/>
      <c r="K52" s="234"/>
      <c r="L52" s="234"/>
      <c r="M52" s="232"/>
    </row>
    <row r="53" spans="1:13" ht="12.75">
      <c r="A53" s="232"/>
      <c r="B53" s="233">
        <f t="shared" si="35"/>
        <v>2001</v>
      </c>
      <c r="C53" s="234">
        <v>16114.726587332905</v>
      </c>
      <c r="D53" s="234">
        <v>37346.4589845451</v>
      </c>
      <c r="E53" s="234"/>
      <c r="F53" s="234"/>
      <c r="G53" s="234"/>
      <c r="H53" s="234"/>
      <c r="I53" s="234"/>
      <c r="J53" s="234"/>
      <c r="K53" s="234"/>
      <c r="L53" s="234"/>
      <c r="M53" s="232"/>
    </row>
    <row r="54" spans="1:13" ht="12.75">
      <c r="A54" s="232"/>
      <c r="B54" s="233">
        <f>curryr</f>
        <v>2002</v>
      </c>
      <c r="C54" s="234">
        <v>15884.9472658251</v>
      </c>
      <c r="D54" s="234"/>
      <c r="E54" s="234"/>
      <c r="F54" s="234"/>
      <c r="G54" s="234"/>
      <c r="H54" s="234"/>
      <c r="I54" s="234"/>
      <c r="J54" s="234"/>
      <c r="K54" s="234"/>
      <c r="L54" s="234"/>
      <c r="M54" s="232"/>
    </row>
    <row r="55" spans="1:13" ht="12.75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32"/>
      <c r="B56" s="233" t="str">
        <f aca="true" t="shared" si="36" ref="B56:B66">B43</f>
        <v>Accident</v>
      </c>
      <c r="C56" s="232"/>
      <c r="D56" s="232" t="s">
        <v>187</v>
      </c>
      <c r="E56" s="232"/>
      <c r="F56" s="232"/>
      <c r="G56" s="232"/>
      <c r="H56" s="232"/>
      <c r="I56" s="232"/>
      <c r="J56" s="232"/>
      <c r="K56" s="232"/>
      <c r="L56" s="232"/>
      <c r="M56" s="232"/>
    </row>
    <row r="57" spans="1:13" ht="12.75">
      <c r="A57" s="232"/>
      <c r="B57" s="250" t="str">
        <f t="shared" si="36"/>
        <v>Year</v>
      </c>
      <c r="C57" s="250" t="str">
        <f aca="true" t="shared" si="37" ref="C57:K57">C44&amp;" - "&amp;D44</f>
        <v>12 - 24</v>
      </c>
      <c r="D57" s="250" t="str">
        <f t="shared" si="37"/>
        <v>24 - 36</v>
      </c>
      <c r="E57" s="250" t="str">
        <f t="shared" si="37"/>
        <v>36 - 48</v>
      </c>
      <c r="F57" s="250" t="str">
        <f t="shared" si="37"/>
        <v>48 - 60</v>
      </c>
      <c r="G57" s="250" t="str">
        <f t="shared" si="37"/>
        <v>60 - 72</v>
      </c>
      <c r="H57" s="250" t="str">
        <f t="shared" si="37"/>
        <v>72 - 84</v>
      </c>
      <c r="I57" s="250" t="str">
        <f t="shared" si="37"/>
        <v>84 - 96</v>
      </c>
      <c r="J57" s="250" t="str">
        <f t="shared" si="37"/>
        <v>96 - 108</v>
      </c>
      <c r="K57" s="250" t="str">
        <f t="shared" si="37"/>
        <v>108 - 120</v>
      </c>
      <c r="L57" s="250" t="str">
        <f>L44&amp;" - ULT"</f>
        <v>120 - ULT</v>
      </c>
      <c r="M57" s="232"/>
    </row>
    <row r="58" spans="1:13" ht="12.75">
      <c r="A58" s="232"/>
      <c r="B58" s="233">
        <f t="shared" si="36"/>
        <v>1993</v>
      </c>
      <c r="C58" s="235">
        <f aca="true" t="shared" si="38" ref="C58:K58">D45/C45</f>
        <v>2.169180242745126</v>
      </c>
      <c r="D58" s="235">
        <f t="shared" si="38"/>
        <v>1.3717421269518009</v>
      </c>
      <c r="E58" s="235">
        <f t="shared" si="38"/>
        <v>1.1598142363977686</v>
      </c>
      <c r="F58" s="235">
        <f t="shared" si="38"/>
        <v>1.1105880572713365</v>
      </c>
      <c r="G58" s="235">
        <f t="shared" si="38"/>
        <v>1.041311307422678</v>
      </c>
      <c r="H58" s="235">
        <f t="shared" si="38"/>
        <v>1.0533973050685115</v>
      </c>
      <c r="I58" s="235">
        <f>J45/I45</f>
        <v>1.052953164408416</v>
      </c>
      <c r="J58" s="235">
        <f>K45/J45</f>
        <v>1.0546980148488858</v>
      </c>
      <c r="K58" s="235">
        <f t="shared" si="38"/>
        <v>1.0243557528773057</v>
      </c>
      <c r="L58" s="235"/>
      <c r="M58" s="232"/>
    </row>
    <row r="59" spans="1:13" ht="12.75">
      <c r="A59" s="232"/>
      <c r="B59" s="233">
        <f t="shared" si="36"/>
        <v>1994</v>
      </c>
      <c r="C59" s="235">
        <f aca="true" t="shared" si="39" ref="C59:J59">D46/C46</f>
        <v>2.394455314268934</v>
      </c>
      <c r="D59" s="235">
        <f t="shared" si="39"/>
        <v>1.3206161935181948</v>
      </c>
      <c r="E59" s="235">
        <f t="shared" si="39"/>
        <v>1.1496987253552982</v>
      </c>
      <c r="F59" s="235">
        <f t="shared" si="39"/>
        <v>1.1260206397760288</v>
      </c>
      <c r="G59" s="235">
        <f t="shared" si="39"/>
        <v>1.0741010674231815</v>
      </c>
      <c r="H59" s="235">
        <f t="shared" si="39"/>
        <v>1.0416448252916135</v>
      </c>
      <c r="I59" s="235">
        <f t="shared" si="39"/>
        <v>1.0609634675698303</v>
      </c>
      <c r="J59" s="235">
        <f t="shared" si="39"/>
        <v>1.0597319770784512</v>
      </c>
      <c r="K59" s="235"/>
      <c r="L59" s="235"/>
      <c r="M59" s="232"/>
    </row>
    <row r="60" spans="1:13" ht="12.75">
      <c r="A60" s="232"/>
      <c r="B60" s="233">
        <f t="shared" si="36"/>
        <v>1995</v>
      </c>
      <c r="C60" s="235">
        <f aca="true" t="shared" si="40" ref="C60:H60">D47/C47</f>
        <v>1.9405413065939932</v>
      </c>
      <c r="D60" s="235">
        <f t="shared" si="40"/>
        <v>1.2889523872099604</v>
      </c>
      <c r="E60" s="235">
        <f t="shared" si="40"/>
        <v>1.1843524032032537</v>
      </c>
      <c r="F60" s="235">
        <f>G47/F47</f>
        <v>1.1103930006548335</v>
      </c>
      <c r="G60" s="235">
        <f t="shared" si="40"/>
        <v>1.0548191152039526</v>
      </c>
      <c r="H60" s="235">
        <f t="shared" si="40"/>
        <v>1.057044118308018</v>
      </c>
      <c r="I60" s="235">
        <f>J47/I47</f>
        <v>1.0810869068632691</v>
      </c>
      <c r="J60" s="235"/>
      <c r="K60" s="235"/>
      <c r="L60" s="235"/>
      <c r="M60" s="232"/>
    </row>
    <row r="61" spans="1:13" ht="12.75">
      <c r="A61" s="232"/>
      <c r="B61" s="233">
        <f t="shared" si="36"/>
        <v>1996</v>
      </c>
      <c r="C61" s="235">
        <f aca="true" t="shared" si="41" ref="C61:C66">D48/C48</f>
        <v>2.34336401077612</v>
      </c>
      <c r="D61" s="235">
        <f>IF(OR(D48=0,E48=""),"",E48/D48)</f>
        <v>1.2243844153477874</v>
      </c>
      <c r="E61" s="235">
        <f>IF(OR(E48=0,F48=""),"",F48/E48)</f>
        <v>1.0524396715697777</v>
      </c>
      <c r="F61" s="235">
        <f>IF(OR(F48=0,G48=""),"",G48/F48)</f>
        <v>1.042355548075649</v>
      </c>
      <c r="G61" s="235">
        <f>IF(OR(G48=0,H48=""),"",H48/G48)</f>
        <v>1.0575885505990565</v>
      </c>
      <c r="H61" s="235">
        <f>IF(OR(H48=0,I48=""),"",I48/H48)</f>
        <v>1.041854194221685</v>
      </c>
      <c r="I61" s="235"/>
      <c r="J61" s="235"/>
      <c r="K61" s="235"/>
      <c r="L61" s="235"/>
      <c r="M61" s="232"/>
    </row>
    <row r="62" spans="1:13" ht="12.75">
      <c r="A62" s="232"/>
      <c r="B62" s="233">
        <f t="shared" si="36"/>
        <v>1997</v>
      </c>
      <c r="C62" s="235">
        <f t="shared" si="41"/>
        <v>2.157982461459563</v>
      </c>
      <c r="D62" s="235">
        <f aca="true" t="shared" si="42" ref="D62:G66">IF(OR(D49=0,E49=""),"",E49/D49)</f>
        <v>1.3555238497990285</v>
      </c>
      <c r="E62" s="235">
        <f t="shared" si="42"/>
        <v>1.1614690240716552</v>
      </c>
      <c r="F62" s="235">
        <f t="shared" si="42"/>
        <v>1.0865833575997348</v>
      </c>
      <c r="G62" s="235">
        <f t="shared" si="42"/>
        <v>1.0676174260188935</v>
      </c>
      <c r="H62" s="235">
        <f>IF(OR(H49=0,L49=""),"",L49/H49)</f>
      </c>
      <c r="I62" s="235"/>
      <c r="J62" s="235"/>
      <c r="K62" s="235"/>
      <c r="L62" s="235"/>
      <c r="M62" s="232"/>
    </row>
    <row r="63" spans="1:13" ht="12.75">
      <c r="A63" s="232"/>
      <c r="B63" s="233">
        <f t="shared" si="36"/>
        <v>1998</v>
      </c>
      <c r="C63" s="235">
        <f>D50/C50</f>
        <v>2.1637909705640213</v>
      </c>
      <c r="D63" s="235">
        <f t="shared" si="42"/>
        <v>1.3004770964932393</v>
      </c>
      <c r="E63" s="235">
        <f t="shared" si="42"/>
        <v>1.1641002625496488</v>
      </c>
      <c r="F63" s="235">
        <f t="shared" si="42"/>
        <v>1.0916901522482545</v>
      </c>
      <c r="G63" s="235">
        <f t="shared" si="42"/>
      </c>
      <c r="H63" s="235">
        <f>IF(OR(H50=0,L50=""),"",L50/H50)</f>
      </c>
      <c r="I63" s="235"/>
      <c r="J63" s="235"/>
      <c r="K63" s="235"/>
      <c r="L63" s="235"/>
      <c r="M63" s="232"/>
    </row>
    <row r="64" spans="1:13" ht="12.75">
      <c r="A64" s="232"/>
      <c r="B64" s="233">
        <f t="shared" si="36"/>
        <v>1999</v>
      </c>
      <c r="C64" s="235">
        <f t="shared" si="41"/>
        <v>2.2187661044554865</v>
      </c>
      <c r="D64" s="235">
        <f t="shared" si="42"/>
        <v>1.3433570664594436</v>
      </c>
      <c r="E64" s="235">
        <f t="shared" si="42"/>
        <v>1.17087565984533</v>
      </c>
      <c r="F64" s="235">
        <f t="shared" si="42"/>
      </c>
      <c r="G64" s="235">
        <f t="shared" si="42"/>
      </c>
      <c r="H64" s="235">
        <f>IF(OR(H51=0,L51=""),"",L51/H51)</f>
      </c>
      <c r="I64" s="235"/>
      <c r="J64" s="235"/>
      <c r="K64" s="235"/>
      <c r="L64" s="235"/>
      <c r="M64" s="232"/>
    </row>
    <row r="65" spans="1:13" ht="12.75">
      <c r="A65" s="232"/>
      <c r="B65" s="233">
        <f t="shared" si="36"/>
        <v>2000</v>
      </c>
      <c r="C65" s="235">
        <f t="shared" si="41"/>
        <v>2.239413471662258</v>
      </c>
      <c r="D65" s="235">
        <f t="shared" si="42"/>
        <v>1.3503232107480154</v>
      </c>
      <c r="E65" s="235">
        <f t="shared" si="42"/>
      </c>
      <c r="F65" s="235">
        <f t="shared" si="42"/>
      </c>
      <c r="G65" s="235">
        <f t="shared" si="42"/>
      </c>
      <c r="H65" s="235">
        <f>IF(OR(H52=0,L52=""),"",L52/H52)</f>
      </c>
      <c r="I65" s="235"/>
      <c r="J65" s="235"/>
      <c r="K65" s="235"/>
      <c r="L65" s="235"/>
      <c r="M65" s="232"/>
    </row>
    <row r="66" spans="1:13" ht="12.75">
      <c r="A66" s="232"/>
      <c r="B66" s="233">
        <f t="shared" si="36"/>
        <v>2001</v>
      </c>
      <c r="C66" s="235">
        <f t="shared" si="41"/>
        <v>2.3175359992704774</v>
      </c>
      <c r="D66" s="235">
        <f t="shared" si="42"/>
      </c>
      <c r="E66" s="235">
        <f t="shared" si="42"/>
      </c>
      <c r="F66" s="235">
        <f t="shared" si="42"/>
      </c>
      <c r="G66" s="235">
        <f t="shared" si="42"/>
      </c>
      <c r="H66" s="235">
        <f>IF(OR(H53=0,L53=""),"",L53/H53)</f>
      </c>
      <c r="I66" s="235"/>
      <c r="J66" s="235"/>
      <c r="K66" s="235"/>
      <c r="L66" s="235"/>
      <c r="M66" s="232"/>
    </row>
    <row r="67" spans="1:13" ht="12.75">
      <c r="A67" s="232"/>
      <c r="B67" s="233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</row>
    <row r="68" spans="1:13" ht="12.75">
      <c r="A68" s="232"/>
      <c r="B68" s="236" t="s">
        <v>181</v>
      </c>
      <c r="C68" s="237">
        <f aca="true" t="shared" si="43" ref="C68:K68">AVERAGE(C58:C66)</f>
        <v>2.2161144313106647</v>
      </c>
      <c r="D68" s="237">
        <f t="shared" si="43"/>
        <v>1.3194220433159338</v>
      </c>
      <c r="E68" s="237">
        <f t="shared" si="43"/>
        <v>1.1489642832846758</v>
      </c>
      <c r="F68" s="237">
        <f t="shared" si="43"/>
        <v>1.0946051259376397</v>
      </c>
      <c r="G68" s="237">
        <f t="shared" si="43"/>
        <v>1.0590874933335523</v>
      </c>
      <c r="H68" s="237">
        <f t="shared" si="43"/>
        <v>1.0484851107224569</v>
      </c>
      <c r="I68" s="237">
        <f t="shared" si="43"/>
        <v>1.0650011796138383</v>
      </c>
      <c r="J68" s="237">
        <f t="shared" si="43"/>
        <v>1.0572149959636685</v>
      </c>
      <c r="K68" s="237">
        <f t="shared" si="43"/>
        <v>1.0243557528773057</v>
      </c>
      <c r="L68" s="232"/>
      <c r="M68" s="232"/>
    </row>
    <row r="69" spans="1:13" ht="12.75">
      <c r="A69" s="232"/>
      <c r="B69" s="232" t="s">
        <v>182</v>
      </c>
      <c r="C69" s="237">
        <f>AVERAGE(C64:C66)</f>
        <v>2.2585718584627408</v>
      </c>
      <c r="D69" s="237">
        <f>AVERAGE(D63:D65)</f>
        <v>1.331385791233566</v>
      </c>
      <c r="E69" s="237">
        <f>AVERAGE(E62:E64)</f>
        <v>1.1654816488222115</v>
      </c>
      <c r="F69" s="237">
        <f>AVERAGE(F61:F63)</f>
        <v>1.0735430193078794</v>
      </c>
      <c r="G69" s="237">
        <f>AVERAGE(G60:G62)</f>
        <v>1.0600083639406341</v>
      </c>
      <c r="H69" s="237">
        <f>AVERAGE(H59:H61)</f>
        <v>1.0468477126071054</v>
      </c>
      <c r="I69" s="237">
        <f>AVERAGE(I58:I60)</f>
        <v>1.0650011796138383</v>
      </c>
      <c r="J69" s="232"/>
      <c r="K69" s="232"/>
      <c r="L69" s="232"/>
      <c r="M69" s="232"/>
    </row>
    <row r="70" spans="1:13" ht="12.75">
      <c r="A70" s="232"/>
      <c r="B70" s="232" t="s">
        <v>183</v>
      </c>
      <c r="C70" s="237">
        <f>(SUM(C58:C66)-MIN(C58:C66)-MAX(C58:C66))/(COUNT(C58:C66)-2)</f>
        <v>2.230004751561865</v>
      </c>
      <c r="D70" s="237">
        <f>(SUM(D58:D65)-MIN(D58:D65)-MAX(D58:D65))/(COUNT(D58:D65)-2)</f>
        <v>1.3265416340379803</v>
      </c>
      <c r="E70" s="237">
        <f>(SUM(E58:E64)-MIN(E58:E64)-MAX(E58:E64))/(COUNT(E58:E64)-2)</f>
        <v>1.1611915816439402</v>
      </c>
      <c r="F70" s="237">
        <f>(SUM(F58:F63)-MIN(F58:F63)-MAX(F58:F63))/(COUNT(F58:F63)-2)</f>
        <v>1.09981364194354</v>
      </c>
      <c r="G70" s="237">
        <f>(SUM(G58:G62)-MIN(G58:G62)-MAX(G58:G62))/(COUNT(G58:G62)-2)</f>
        <v>1.0600083639406341</v>
      </c>
      <c r="H70" s="237">
        <f>(SUM(H58:H61)-MIN(H58:H61)-MAX(H58:H61))/(COUNT(H58:H61)-2)</f>
        <v>1.047625749645098</v>
      </c>
      <c r="I70" s="232"/>
      <c r="J70" s="232"/>
      <c r="K70" s="232"/>
      <c r="L70" s="232"/>
      <c r="M70" s="232"/>
    </row>
    <row r="71" spans="1:59" ht="12.75">
      <c r="A71" s="232"/>
      <c r="B71" s="232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2"/>
      <c r="BG71" s="25" t="s">
        <v>225</v>
      </c>
    </row>
    <row r="72" spans="1:13" ht="12.75">
      <c r="A72" s="232"/>
      <c r="B72" s="253" t="s">
        <v>83</v>
      </c>
      <c r="C72" s="254">
        <f aca="true" t="shared" si="44" ref="C72:I72">C69</f>
        <v>2.2585718584627408</v>
      </c>
      <c r="D72" s="254">
        <f t="shared" si="44"/>
        <v>1.331385791233566</v>
      </c>
      <c r="E72" s="254">
        <f t="shared" si="44"/>
        <v>1.1654816488222115</v>
      </c>
      <c r="F72" s="254">
        <f t="shared" si="44"/>
        <v>1.0735430193078794</v>
      </c>
      <c r="G72" s="254">
        <f t="shared" si="44"/>
        <v>1.0600083639406341</v>
      </c>
      <c r="H72" s="254">
        <f t="shared" si="44"/>
        <v>1.0468477126071054</v>
      </c>
      <c r="I72" s="254">
        <f t="shared" si="44"/>
        <v>1.0650011796138383</v>
      </c>
      <c r="J72" s="254">
        <f>J68</f>
        <v>1.0572149959636685</v>
      </c>
      <c r="K72" s="254">
        <f>K68</f>
        <v>1.0243557528773057</v>
      </c>
      <c r="L72" s="254">
        <f>K72</f>
        <v>1.0243557528773057</v>
      </c>
      <c r="M72" s="232"/>
    </row>
    <row r="73" spans="1:13" ht="12.75">
      <c r="A73" s="232"/>
      <c r="B73" s="232" t="s">
        <v>184</v>
      </c>
      <c r="C73" s="238">
        <f>PRODUCT(C72:$L72)</f>
        <v>4.932539229722255</v>
      </c>
      <c r="D73" s="238">
        <f>PRODUCT(D72:$L72)</f>
        <v>2.183919546876629</v>
      </c>
      <c r="E73" s="238">
        <f>PRODUCT(E72:$L72)</f>
        <v>1.6403356271762266</v>
      </c>
      <c r="F73" s="238">
        <f>PRODUCT(F72:$L72)</f>
        <v>1.4074315359953402</v>
      </c>
      <c r="G73" s="238">
        <f>PRODUCT(G72:$L72)</f>
        <v>1.3110154979189568</v>
      </c>
      <c r="H73" s="238">
        <f>PRODUCT(H72:$L72)</f>
        <v>1.2367973145468318</v>
      </c>
      <c r="I73" s="238">
        <f>PRODUCT(I72:$L72)</f>
        <v>1.1814491254574837</v>
      </c>
      <c r="J73" s="238">
        <f>PRODUCT(J72:$L72)</f>
        <v>1.109340673111619</v>
      </c>
      <c r="K73" s="238">
        <f>PRODUCT(K72:$L72)</f>
        <v>1.049304708452832</v>
      </c>
      <c r="L73" s="238">
        <f>L72</f>
        <v>1.0243557528773057</v>
      </c>
      <c r="M73" s="232"/>
    </row>
    <row r="74" spans="1:13" ht="12.75">
      <c r="A74" s="232"/>
      <c r="B74" s="232" t="s">
        <v>188</v>
      </c>
      <c r="C74" s="239">
        <f aca="true" t="shared" si="45" ref="C74:L74">1-1/C73</f>
        <v>0.7972646636089078</v>
      </c>
      <c r="D74" s="239">
        <f t="shared" si="45"/>
        <v>0.542107674511102</v>
      </c>
      <c r="E74" s="239">
        <f t="shared" si="45"/>
        <v>0.3903686639291858</v>
      </c>
      <c r="F74" s="239">
        <f t="shared" si="45"/>
        <v>0.28948586526249986</v>
      </c>
      <c r="G74" s="239">
        <f t="shared" si="45"/>
        <v>0.23723251053297834</v>
      </c>
      <c r="H74" s="239">
        <f t="shared" si="45"/>
        <v>0.19146008142295767</v>
      </c>
      <c r="I74" s="239">
        <f t="shared" si="45"/>
        <v>0.15358183568608808</v>
      </c>
      <c r="J74" s="239">
        <f t="shared" si="45"/>
        <v>0.09856365655910415</v>
      </c>
      <c r="K74" s="239">
        <f t="shared" si="45"/>
        <v>0.046987979807629254</v>
      </c>
      <c r="L74" s="239">
        <f t="shared" si="45"/>
        <v>0.023776654554721888</v>
      </c>
      <c r="M74" s="232"/>
    </row>
    <row r="75" spans="1:13" ht="12.75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229" ht="12.75">
      <c r="N229" s="24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2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2.77734375" style="9" customWidth="1"/>
    <col min="2" max="2" width="10.6640625" style="9" bestFit="1" customWidth="1"/>
    <col min="3" max="3" width="5.5546875" style="9" bestFit="1" customWidth="1"/>
    <col min="4" max="12" width="6.10546875" style="9" customWidth="1"/>
    <col min="13" max="17" width="7.10546875" style="9" customWidth="1"/>
    <col min="18" max="18" width="6.4453125" style="9" bestFit="1" customWidth="1"/>
    <col min="19" max="19" width="11.5546875" style="9" customWidth="1"/>
    <col min="20" max="20" width="7.21484375" style="9" bestFit="1" customWidth="1"/>
    <col min="21" max="21" width="7.5546875" style="9" bestFit="1" customWidth="1"/>
    <col min="22" max="23" width="1.77734375" style="9" customWidth="1"/>
    <col min="24" max="24" width="6.4453125" style="9" bestFit="1" customWidth="1"/>
    <col min="25" max="30" width="7.10546875" style="9" customWidth="1"/>
    <col min="31" max="31" width="6.4453125" style="9" bestFit="1" customWidth="1"/>
    <col min="32" max="32" width="6.6640625" style="9" bestFit="1" customWidth="1"/>
    <col min="33" max="33" width="4.88671875" style="9" bestFit="1" customWidth="1"/>
    <col min="34" max="34" width="6.88671875" style="9" bestFit="1" customWidth="1"/>
    <col min="35" max="35" width="1.5625" style="9" customWidth="1"/>
    <col min="36" max="36" width="6.10546875" style="9" customWidth="1"/>
    <col min="37" max="37" width="6.5546875" style="9" bestFit="1" customWidth="1"/>
    <col min="38" max="38" width="7.99609375" style="9" bestFit="1" customWidth="1"/>
    <col min="39" max="39" width="7.5546875" style="9" bestFit="1" customWidth="1"/>
    <col min="40" max="40" width="1.1171875" style="9" customWidth="1"/>
    <col min="41" max="41" width="6.3359375" style="9" customWidth="1"/>
    <col min="42" max="42" width="6.6640625" style="9" customWidth="1"/>
    <col min="43" max="43" width="7.5546875" style="9" customWidth="1"/>
    <col min="44" max="61" width="7.10546875" style="9" customWidth="1"/>
    <col min="62" max="62" width="2.6640625" style="9" customWidth="1"/>
    <col min="63" max="16384" width="7.10546875" style="9" customWidth="1"/>
  </cols>
  <sheetData>
    <row r="1" spans="1:13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67" ht="12.7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</row>
    <row r="3" spans="1:67" ht="14.25">
      <c r="A3" s="232"/>
      <c r="B3" s="232" t="s">
        <v>226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P3" s="18"/>
      <c r="R3" s="232"/>
      <c r="S3" s="255" t="s">
        <v>166</v>
      </c>
      <c r="T3" s="232"/>
      <c r="U3" s="232"/>
      <c r="V3" s="232"/>
      <c r="W3" s="232"/>
      <c r="X3" s="232"/>
      <c r="Y3" s="255" t="s">
        <v>167</v>
      </c>
      <c r="Z3" s="232"/>
      <c r="AA3" s="232"/>
      <c r="AB3" s="232"/>
      <c r="AE3" s="232"/>
      <c r="AF3" s="232"/>
      <c r="AG3" s="232"/>
      <c r="AH3" s="232"/>
      <c r="AI3" s="232"/>
      <c r="AJ3" s="255" t="s">
        <v>168</v>
      </c>
      <c r="AK3" s="232"/>
      <c r="AL3" s="232"/>
      <c r="AM3" s="232"/>
      <c r="AN3" s="232"/>
      <c r="AO3" s="255" t="s">
        <v>169</v>
      </c>
      <c r="AP3" s="232"/>
      <c r="AQ3" s="232"/>
      <c r="AR3" s="232"/>
      <c r="AS3" s="232"/>
      <c r="BE3" s="232"/>
      <c r="BF3" s="251"/>
      <c r="BG3" s="251" t="s">
        <v>170</v>
      </c>
      <c r="BH3" s="251"/>
      <c r="BI3" s="251"/>
      <c r="BJ3" s="232"/>
      <c r="BK3" s="232"/>
      <c r="BL3" s="232"/>
      <c r="BM3" s="232"/>
      <c r="BN3" s="232"/>
      <c r="BO3" s="232"/>
    </row>
    <row r="4" spans="1:67" ht="12.7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P4" s="18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BE4" s="233" t="str">
        <f aca="true" t="shared" si="0" ref="BE4:BE15">AE6</f>
        <v>Accident</v>
      </c>
      <c r="BF4" s="233" t="s">
        <v>23</v>
      </c>
      <c r="BG4" s="233" t="s">
        <v>32</v>
      </c>
      <c r="BH4" s="233" t="s">
        <v>23</v>
      </c>
      <c r="BI4" s="233" t="s">
        <v>32</v>
      </c>
      <c r="BJ4" s="232"/>
      <c r="BK4" s="233" t="s">
        <v>83</v>
      </c>
      <c r="BL4" s="233" t="s">
        <v>83</v>
      </c>
      <c r="BM4" s="233" t="s">
        <v>83</v>
      </c>
      <c r="BN4" s="233" t="s">
        <v>83</v>
      </c>
      <c r="BO4" s="232"/>
    </row>
    <row r="5" spans="1:67" ht="12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P5" s="18"/>
      <c r="R5" s="232"/>
      <c r="S5" s="233" t="s">
        <v>23</v>
      </c>
      <c r="T5" s="232"/>
      <c r="U5" s="233" t="s">
        <v>33</v>
      </c>
      <c r="V5" s="232"/>
      <c r="W5" s="232"/>
      <c r="X5" s="232"/>
      <c r="Y5" s="233" t="s">
        <v>32</v>
      </c>
      <c r="Z5" s="232"/>
      <c r="AA5" s="233" t="s">
        <v>33</v>
      </c>
      <c r="AB5" s="232"/>
      <c r="AE5" s="232"/>
      <c r="AF5" s="232"/>
      <c r="AG5" s="232"/>
      <c r="AH5" s="232"/>
      <c r="AI5" s="232"/>
      <c r="AJ5" s="232"/>
      <c r="AK5" s="232"/>
      <c r="AL5" s="233" t="s">
        <v>23</v>
      </c>
      <c r="AM5" s="233" t="s">
        <v>33</v>
      </c>
      <c r="AN5" s="232"/>
      <c r="AO5" s="232"/>
      <c r="AP5" s="232"/>
      <c r="AQ5" s="233" t="s">
        <v>32</v>
      </c>
      <c r="AR5" s="233" t="s">
        <v>33</v>
      </c>
      <c r="AS5" s="232"/>
      <c r="BE5" s="250" t="str">
        <f t="shared" si="0"/>
        <v>Year</v>
      </c>
      <c r="BF5" s="250" t="s">
        <v>173</v>
      </c>
      <c r="BG5" s="250" t="s">
        <v>173</v>
      </c>
      <c r="BH5" s="250" t="s">
        <v>174</v>
      </c>
      <c r="BI5" s="250" t="s">
        <v>174</v>
      </c>
      <c r="BJ5" s="232"/>
      <c r="BK5" s="250" t="s">
        <v>38</v>
      </c>
      <c r="BL5" s="250" t="s">
        <v>175</v>
      </c>
      <c r="BM5" s="250" t="s">
        <v>87</v>
      </c>
      <c r="BN5" s="250" t="s">
        <v>176</v>
      </c>
      <c r="BO5" s="232"/>
    </row>
    <row r="6" spans="1:67" ht="12.75">
      <c r="A6" s="232"/>
      <c r="B6" s="233" t="s">
        <v>34</v>
      </c>
      <c r="C6" s="232" t="s">
        <v>211</v>
      </c>
      <c r="D6" s="232" t="s">
        <v>178</v>
      </c>
      <c r="E6" s="232"/>
      <c r="F6" s="232"/>
      <c r="G6" s="232"/>
      <c r="H6" s="232"/>
      <c r="I6" s="232"/>
      <c r="J6" s="232"/>
      <c r="K6" s="232"/>
      <c r="L6" s="232"/>
      <c r="M6" s="232"/>
      <c r="P6" s="18"/>
      <c r="R6" s="233" t="str">
        <f aca="true" t="shared" si="1" ref="R6:R17">X6</f>
        <v>Accident</v>
      </c>
      <c r="S6" s="233" t="s">
        <v>171</v>
      </c>
      <c r="T6" s="233" t="s">
        <v>172</v>
      </c>
      <c r="U6" s="233" t="s">
        <v>38</v>
      </c>
      <c r="V6" s="232"/>
      <c r="W6" s="232"/>
      <c r="X6" s="233" t="str">
        <f>B56</f>
        <v>Accident</v>
      </c>
      <c r="Y6" s="233" t="s">
        <v>171</v>
      </c>
      <c r="Z6" s="233" t="s">
        <v>172</v>
      </c>
      <c r="AA6" s="233" t="s">
        <v>38</v>
      </c>
      <c r="AB6" s="232"/>
      <c r="AE6" s="233" t="str">
        <f>B19</f>
        <v>Accident</v>
      </c>
      <c r="AF6" s="233" t="s">
        <v>88</v>
      </c>
      <c r="AG6" s="233"/>
      <c r="AH6" s="233" t="s">
        <v>86</v>
      </c>
      <c r="AI6" s="233"/>
      <c r="AJ6" s="233" t="s">
        <v>87</v>
      </c>
      <c r="AK6" s="233" t="s">
        <v>33</v>
      </c>
      <c r="AL6" s="233" t="s">
        <v>171</v>
      </c>
      <c r="AM6" s="233" t="s">
        <v>38</v>
      </c>
      <c r="AN6" s="232"/>
      <c r="AO6" s="233" t="s">
        <v>175</v>
      </c>
      <c r="AP6" s="233" t="s">
        <v>33</v>
      </c>
      <c r="AQ6" s="233" t="s">
        <v>171</v>
      </c>
      <c r="AR6" s="233" t="s">
        <v>38</v>
      </c>
      <c r="AS6" s="232"/>
      <c r="BE6" s="233">
        <f t="shared" si="0"/>
        <v>1993</v>
      </c>
      <c r="BF6" s="243">
        <f aca="true" t="shared" si="2" ref="BF6:BF15">U8</f>
        <v>26187.648192659162</v>
      </c>
      <c r="BG6" s="243">
        <f aca="true" t="shared" si="3" ref="BG6:BG15">AA8</f>
        <v>25719.63658269292</v>
      </c>
      <c r="BH6" s="243">
        <f aca="true" t="shared" si="4" ref="BH6:BH15">AM8</f>
        <v>26294.925329419908</v>
      </c>
      <c r="BI6" s="243">
        <f aca="true" t="shared" si="5" ref="BI6:BI15">AR8</f>
        <v>26050.962595954756</v>
      </c>
      <c r="BJ6" s="232"/>
      <c r="BK6" s="243">
        <f aca="true" t="shared" si="6" ref="BK6:BK15">AVERAGE(BF6:BI6)</f>
        <v>26063.293175181687</v>
      </c>
      <c r="BL6" s="243">
        <f aca="true" t="shared" si="7" ref="BL6:BL15">BK6-AQ8</f>
        <v>1427.4521426068713</v>
      </c>
      <c r="BM6" s="243">
        <f aca="true" t="shared" si="8" ref="BM6:BM15">BK6-AL8</f>
        <v>255.55646383506246</v>
      </c>
      <c r="BN6" s="252">
        <f aca="true" t="shared" si="9" ref="BN6:BN15">BK6/AF8</f>
        <v>0.5432704914909845</v>
      </c>
      <c r="BO6" s="232"/>
    </row>
    <row r="7" spans="1:67" ht="13.5" thickBot="1">
      <c r="A7" s="232"/>
      <c r="B7" s="250" t="s">
        <v>39</v>
      </c>
      <c r="C7" s="250">
        <v>12</v>
      </c>
      <c r="D7" s="250">
        <f>C7+12</f>
        <v>24</v>
      </c>
      <c r="E7" s="250">
        <f>D7+12</f>
        <v>36</v>
      </c>
      <c r="F7" s="250">
        <f>E7+12</f>
        <v>48</v>
      </c>
      <c r="G7" s="250">
        <f>F7+12</f>
        <v>60</v>
      </c>
      <c r="H7" s="250">
        <f>G7+12</f>
        <v>72</v>
      </c>
      <c r="I7" s="250">
        <v>84</v>
      </c>
      <c r="J7" s="250">
        <v>96</v>
      </c>
      <c r="K7" s="250">
        <v>108</v>
      </c>
      <c r="L7" s="250">
        <v>120</v>
      </c>
      <c r="M7" s="232"/>
      <c r="P7" s="18"/>
      <c r="R7" s="250" t="str">
        <f t="shared" si="1"/>
        <v>Year</v>
      </c>
      <c r="S7" s="250" t="str">
        <f>"at "&amp;TEXT(curreval,"m/d/yy")</f>
        <v>at 12/31/02</v>
      </c>
      <c r="T7" s="250" t="s">
        <v>173</v>
      </c>
      <c r="U7" s="250" t="s">
        <v>171</v>
      </c>
      <c r="V7" s="232"/>
      <c r="W7" s="232"/>
      <c r="X7" s="250" t="str">
        <f>B57</f>
        <v>Year</v>
      </c>
      <c r="Y7" s="250" t="str">
        <f>"at "&amp;TEXT(curreval,"m/d/yy")</f>
        <v>at 12/31/02</v>
      </c>
      <c r="Z7" s="250" t="s">
        <v>173</v>
      </c>
      <c r="AA7" s="250" t="s">
        <v>171</v>
      </c>
      <c r="AB7" s="232"/>
      <c r="AE7" s="250" t="str">
        <f>B20</f>
        <v>Year</v>
      </c>
      <c r="AF7" s="250" t="s">
        <v>89</v>
      </c>
      <c r="AG7" s="244" t="s">
        <v>69</v>
      </c>
      <c r="AH7" s="250" t="s">
        <v>42</v>
      </c>
      <c r="AI7" s="244"/>
      <c r="AJ7" s="250" t="s">
        <v>41</v>
      </c>
      <c r="AK7" s="250" t="s">
        <v>87</v>
      </c>
      <c r="AL7" s="250" t="str">
        <f>"at "&amp;TEXT(curreval,"m/d/yy")</f>
        <v>at 12/31/02</v>
      </c>
      <c r="AM7" s="250" t="s">
        <v>171</v>
      </c>
      <c r="AN7" s="232"/>
      <c r="AO7" s="250" t="s">
        <v>41</v>
      </c>
      <c r="AP7" s="250" t="s">
        <v>175</v>
      </c>
      <c r="AQ7" s="250" t="str">
        <f>"at "&amp;TEXT(curreval,"m/d/yy")</f>
        <v>at 12/31/02</v>
      </c>
      <c r="AR7" s="250" t="s">
        <v>171</v>
      </c>
      <c r="AS7" s="232"/>
      <c r="BE7" s="233">
        <f t="shared" si="0"/>
        <v>1994</v>
      </c>
      <c r="BF7" s="243">
        <f t="shared" si="2"/>
        <v>25893.76143293895</v>
      </c>
      <c r="BG7" s="243">
        <f t="shared" si="3"/>
        <v>24921.379011383928</v>
      </c>
      <c r="BH7" s="243">
        <f t="shared" si="4"/>
        <v>26103.56839638879</v>
      </c>
      <c r="BI7" s="243">
        <f t="shared" si="5"/>
        <v>25602.541103477328</v>
      </c>
      <c r="BJ7" s="232"/>
      <c r="BK7" s="243">
        <f t="shared" si="6"/>
        <v>25630.31248604725</v>
      </c>
      <c r="BL7" s="243">
        <f t="shared" si="7"/>
        <v>2764.9968531689155</v>
      </c>
      <c r="BM7" s="243">
        <f t="shared" si="8"/>
        <v>482.3973925557948</v>
      </c>
      <c r="BN7" s="252">
        <f t="shared" si="9"/>
        <v>0.5407615400660225</v>
      </c>
      <c r="BO7" s="232"/>
    </row>
    <row r="8" spans="1:67" ht="12.75">
      <c r="A8" s="232"/>
      <c r="B8" s="233">
        <f aca="true" t="shared" si="10" ref="B8:B16">B9-1</f>
        <v>1993</v>
      </c>
      <c r="C8" s="234">
        <v>13138.235960099746</v>
      </c>
      <c r="D8" s="234">
        <v>18109.377856920197</v>
      </c>
      <c r="E8" s="234">
        <v>19131.534209788024</v>
      </c>
      <c r="F8" s="234">
        <v>21252.67688279301</v>
      </c>
      <c r="G8" s="234">
        <v>21829.92977556109</v>
      </c>
      <c r="H8" s="234">
        <v>23146.479712437696</v>
      </c>
      <c r="I8" s="234">
        <v>23784.04133856768</v>
      </c>
      <c r="J8" s="234">
        <v>25247.460589931423</v>
      </c>
      <c r="K8" s="234">
        <v>25433.336711346623</v>
      </c>
      <c r="L8" s="234">
        <v>25807.736711346624</v>
      </c>
      <c r="M8" s="232"/>
      <c r="P8" s="18"/>
      <c r="R8" s="233">
        <f t="shared" si="1"/>
        <v>1993</v>
      </c>
      <c r="S8" s="241">
        <f>L8</f>
        <v>25807.736711346624</v>
      </c>
      <c r="T8" s="245">
        <f>L36</f>
        <v>1.0147208368390361</v>
      </c>
      <c r="U8" s="241">
        <f aca="true" t="shared" si="11" ref="U8:U17">T8*S8</f>
        <v>26187.648192659162</v>
      </c>
      <c r="V8" s="232"/>
      <c r="W8" s="232"/>
      <c r="X8" s="233">
        <f aca="true" t="shared" si="12" ref="X8:X17">B45</f>
        <v>1993</v>
      </c>
      <c r="Y8" s="241">
        <f>L45</f>
        <v>24635.841032574815</v>
      </c>
      <c r="Z8" s="245">
        <f>L73</f>
        <v>1.043992634498861</v>
      </c>
      <c r="AA8" s="241">
        <f aca="true" t="shared" si="13" ref="AA8:AA17">Z8*Y8</f>
        <v>25719.63658269292</v>
      </c>
      <c r="AB8" s="232"/>
      <c r="AE8" s="233">
        <f aca="true" t="shared" si="14" ref="AE8:AE17">B8</f>
        <v>1993</v>
      </c>
      <c r="AF8" s="234">
        <v>47974.8</v>
      </c>
      <c r="AG8" s="247">
        <v>0.7</v>
      </c>
      <c r="AH8" s="234">
        <f aca="true" t="shared" si="15" ref="AH8:AH17">AF8*AG8</f>
        <v>33582.36</v>
      </c>
      <c r="AI8" s="234"/>
      <c r="AJ8" s="245">
        <f>L37</f>
        <v>0.014507277572906818</v>
      </c>
      <c r="AK8" s="246">
        <f aca="true" t="shared" si="16" ref="AK8:AK17">AH8*AJ8</f>
        <v>487.188618073283</v>
      </c>
      <c r="AL8" s="234">
        <f>L8</f>
        <v>25807.736711346624</v>
      </c>
      <c r="AM8" s="234">
        <f aca="true" t="shared" si="17" ref="AM8:AM17">AK8+AL8</f>
        <v>26294.925329419908</v>
      </c>
      <c r="AN8" s="232"/>
      <c r="AO8" s="245">
        <f>L74</f>
        <v>0.04213883608477609</v>
      </c>
      <c r="AP8" s="246">
        <f aca="true" t="shared" si="18" ref="AP8:AP17">AO8*AH8</f>
        <v>1415.121563379941</v>
      </c>
      <c r="AQ8" s="234">
        <f>L45</f>
        <v>24635.841032574815</v>
      </c>
      <c r="AR8" s="234">
        <f aca="true" t="shared" si="19" ref="AR8:AR17">AP8+AQ8</f>
        <v>26050.962595954756</v>
      </c>
      <c r="AS8" s="232"/>
      <c r="BE8" s="233">
        <f t="shared" si="0"/>
        <v>1995</v>
      </c>
      <c r="BF8" s="243">
        <f t="shared" si="2"/>
        <v>30422.817223028003</v>
      </c>
      <c r="BG8" s="243">
        <f t="shared" si="3"/>
        <v>30059.579140052396</v>
      </c>
      <c r="BH8" s="243">
        <f t="shared" si="4"/>
        <v>30511.215888257633</v>
      </c>
      <c r="BI8" s="243">
        <f t="shared" si="5"/>
        <v>30422.623773193536</v>
      </c>
      <c r="BJ8" s="232"/>
      <c r="BK8" s="243">
        <f t="shared" si="6"/>
        <v>30354.05900613289</v>
      </c>
      <c r="BL8" s="243">
        <f t="shared" si="7"/>
        <v>4546.660016259419</v>
      </c>
      <c r="BM8" s="243">
        <f t="shared" si="8"/>
        <v>1151.890405714552</v>
      </c>
      <c r="BN8" s="252">
        <f t="shared" si="9"/>
        <v>0.6512544681911255</v>
      </c>
      <c r="BO8" s="232"/>
    </row>
    <row r="9" spans="1:67" ht="12.75">
      <c r="A9" s="232"/>
      <c r="B9" s="233">
        <f t="shared" si="10"/>
        <v>1994</v>
      </c>
      <c r="C9" s="234">
        <v>13540.813217923807</v>
      </c>
      <c r="D9" s="234">
        <v>16432.0674068623</v>
      </c>
      <c r="E9" s="234">
        <v>19052.65752967361</v>
      </c>
      <c r="F9" s="234">
        <v>20121.264726678586</v>
      </c>
      <c r="G9" s="234">
        <v>21704.50199961408</v>
      </c>
      <c r="H9" s="234">
        <v>22896.54015928416</v>
      </c>
      <c r="I9" s="234">
        <v>24374.71014246931</v>
      </c>
      <c r="J9" s="234">
        <v>24746.490297186334</v>
      </c>
      <c r="K9" s="234">
        <v>25147.915093491454</v>
      </c>
      <c r="L9" s="234"/>
      <c r="M9" s="232"/>
      <c r="P9" s="18"/>
      <c r="R9" s="233">
        <f t="shared" si="1"/>
        <v>1994</v>
      </c>
      <c r="S9" s="241">
        <f>K9</f>
        <v>25147.915093491454</v>
      </c>
      <c r="T9" s="245">
        <f>K36</f>
        <v>1.0296583767153138</v>
      </c>
      <c r="U9" s="241">
        <f t="shared" si="11"/>
        <v>25893.76143293895</v>
      </c>
      <c r="V9" s="232"/>
      <c r="W9" s="232"/>
      <c r="X9" s="233">
        <f t="shared" si="12"/>
        <v>1994</v>
      </c>
      <c r="Y9" s="241">
        <f>K46</f>
        <v>22865.315632878333</v>
      </c>
      <c r="Z9" s="245">
        <f>K73</f>
        <v>1.0899206208878724</v>
      </c>
      <c r="AA9" s="241">
        <f t="shared" si="13"/>
        <v>24921.379011383928</v>
      </c>
      <c r="AB9" s="232"/>
      <c r="AE9" s="233">
        <f t="shared" si="14"/>
        <v>1994</v>
      </c>
      <c r="AF9" s="234">
        <v>47396.7</v>
      </c>
      <c r="AG9" s="248">
        <v>0.7</v>
      </c>
      <c r="AH9" s="234">
        <f t="shared" si="15"/>
        <v>33177.689999999995</v>
      </c>
      <c r="AI9" s="234"/>
      <c r="AJ9" s="245">
        <f>K37</f>
        <v>0.02880409404323614</v>
      </c>
      <c r="AK9" s="246">
        <f t="shared" si="16"/>
        <v>955.653302897335</v>
      </c>
      <c r="AL9" s="234">
        <f>K9</f>
        <v>25147.915093491454</v>
      </c>
      <c r="AM9" s="234">
        <f t="shared" si="17"/>
        <v>26103.56839638879</v>
      </c>
      <c r="AN9" s="232"/>
      <c r="AO9" s="245">
        <f>K74</f>
        <v>0.08250199066297248</v>
      </c>
      <c r="AP9" s="246">
        <f t="shared" si="18"/>
        <v>2737.225470598995</v>
      </c>
      <c r="AQ9" s="234">
        <f>K46</f>
        <v>22865.315632878333</v>
      </c>
      <c r="AR9" s="234">
        <f t="shared" si="19"/>
        <v>25602.541103477328</v>
      </c>
      <c r="AS9" s="232"/>
      <c r="BE9" s="233">
        <f t="shared" si="0"/>
        <v>1996</v>
      </c>
      <c r="BF9" s="243">
        <f t="shared" si="2"/>
        <v>30149.466275679857</v>
      </c>
      <c r="BG9" s="243">
        <f t="shared" si="3"/>
        <v>29845.619148251255</v>
      </c>
      <c r="BH9" s="243">
        <f t="shared" si="4"/>
        <v>30522.937447450553</v>
      </c>
      <c r="BI9" s="243">
        <f t="shared" si="5"/>
        <v>30920.510244208064</v>
      </c>
      <c r="BJ9" s="232"/>
      <c r="BK9" s="243">
        <f t="shared" si="6"/>
        <v>30359.633278897432</v>
      </c>
      <c r="BL9" s="243">
        <f t="shared" si="7"/>
        <v>6269.633324203194</v>
      </c>
      <c r="BM9" s="243">
        <f t="shared" si="8"/>
        <v>2346.7917924980684</v>
      </c>
      <c r="BN9" s="252">
        <f t="shared" si="9"/>
        <v>0.6000022387487832</v>
      </c>
      <c r="BO9" s="232"/>
    </row>
    <row r="10" spans="1:67" ht="12.75">
      <c r="A10" s="232"/>
      <c r="B10" s="233">
        <f t="shared" si="10"/>
        <v>1995</v>
      </c>
      <c r="C10" s="234">
        <v>15042.960855207675</v>
      </c>
      <c r="D10" s="234">
        <v>19371.1587235964</v>
      </c>
      <c r="E10" s="234">
        <v>22467.524482154113</v>
      </c>
      <c r="F10" s="234">
        <v>24083.785607025504</v>
      </c>
      <c r="G10" s="234">
        <v>25214.619845287005</v>
      </c>
      <c r="H10" s="234">
        <v>27376.138435207005</v>
      </c>
      <c r="I10" s="234">
        <v>28559.921239616186</v>
      </c>
      <c r="J10" s="234">
        <v>29202.16860041834</v>
      </c>
      <c r="K10" s="234"/>
      <c r="L10" s="234"/>
      <c r="M10" s="232"/>
      <c r="P10" s="18"/>
      <c r="R10" s="233">
        <f t="shared" si="1"/>
        <v>1995</v>
      </c>
      <c r="S10" s="241">
        <f>J10</f>
        <v>29202.16860041834</v>
      </c>
      <c r="T10" s="245">
        <f>J36</f>
        <v>1.0417999306596764</v>
      </c>
      <c r="U10" s="241">
        <f t="shared" si="11"/>
        <v>30422.817223028003</v>
      </c>
      <c r="V10" s="232"/>
      <c r="W10" s="232"/>
      <c r="X10" s="233">
        <f t="shared" si="12"/>
        <v>1995</v>
      </c>
      <c r="Y10" s="241">
        <f>J47</f>
        <v>25807.398989873473</v>
      </c>
      <c r="Z10" s="245">
        <f>J73</f>
        <v>1.1647659321207624</v>
      </c>
      <c r="AA10" s="241">
        <f t="shared" si="13"/>
        <v>30059.579140052396</v>
      </c>
      <c r="AB10" s="232"/>
      <c r="AE10" s="233">
        <f t="shared" si="14"/>
        <v>1995</v>
      </c>
      <c r="AF10" s="234">
        <v>46608.6</v>
      </c>
      <c r="AG10" s="248">
        <v>0.7</v>
      </c>
      <c r="AH10" s="234">
        <f t="shared" si="15"/>
        <v>32626.019999999997</v>
      </c>
      <c r="AI10" s="234"/>
      <c r="AJ10" s="245">
        <f>J37</f>
        <v>0.04012280038568283</v>
      </c>
      <c r="AK10" s="246">
        <f t="shared" si="16"/>
        <v>1309.0472878392957</v>
      </c>
      <c r="AL10" s="234">
        <f>J10</f>
        <v>29202.16860041834</v>
      </c>
      <c r="AM10" s="234">
        <f t="shared" si="17"/>
        <v>30511.215888257633</v>
      </c>
      <c r="AN10" s="232"/>
      <c r="AO10" s="245">
        <f>J74</f>
        <v>0.1414584059998757</v>
      </c>
      <c r="AP10" s="246">
        <f t="shared" si="18"/>
        <v>4615.224783320064</v>
      </c>
      <c r="AQ10" s="234">
        <f>J47</f>
        <v>25807.398989873473</v>
      </c>
      <c r="AR10" s="234">
        <f t="shared" si="19"/>
        <v>30422.623773193536</v>
      </c>
      <c r="AS10" s="232"/>
      <c r="BE10" s="233">
        <f t="shared" si="0"/>
        <v>1997</v>
      </c>
      <c r="BF10" s="243">
        <f t="shared" si="2"/>
        <v>44946.25497555888</v>
      </c>
      <c r="BG10" s="243">
        <f t="shared" si="3"/>
        <v>42835.04340299902</v>
      </c>
      <c r="BH10" s="243">
        <f t="shared" si="4"/>
        <v>44979.18722700079</v>
      </c>
      <c r="BI10" s="243">
        <f t="shared" si="5"/>
        <v>43389.271618983475</v>
      </c>
      <c r="BJ10" s="232"/>
      <c r="BK10" s="243">
        <f t="shared" si="6"/>
        <v>44037.43930613554</v>
      </c>
      <c r="BL10" s="243">
        <f t="shared" si="7"/>
        <v>11048.536398199925</v>
      </c>
      <c r="BM10" s="243">
        <f t="shared" si="8"/>
        <v>4026.3556220877726</v>
      </c>
      <c r="BN10" s="252">
        <f t="shared" si="9"/>
        <v>0.6812996702549227</v>
      </c>
      <c r="BO10" s="232"/>
    </row>
    <row r="11" spans="1:67" ht="12.75">
      <c r="A11" s="232"/>
      <c r="B11" s="233">
        <f t="shared" si="10"/>
        <v>1996</v>
      </c>
      <c r="C11" s="234">
        <v>15259.076096438579</v>
      </c>
      <c r="D11" s="234">
        <v>22208.367444819265</v>
      </c>
      <c r="E11" s="234">
        <v>23520.53349670003</v>
      </c>
      <c r="F11" s="234">
        <v>24541.127367728157</v>
      </c>
      <c r="G11" s="234">
        <v>26526.366854419623</v>
      </c>
      <c r="H11" s="234">
        <v>27372.10357409735</v>
      </c>
      <c r="I11" s="234">
        <v>28012.841486399364</v>
      </c>
      <c r="J11" s="234"/>
      <c r="K11" s="234"/>
      <c r="L11" s="234"/>
      <c r="M11" s="232"/>
      <c r="P11" s="18"/>
      <c r="R11" s="233">
        <f t="shared" si="1"/>
        <v>1996</v>
      </c>
      <c r="S11" s="241">
        <f>I11</f>
        <v>28012.841486399364</v>
      </c>
      <c r="T11" s="245">
        <f>I36</f>
        <v>1.0762730474992284</v>
      </c>
      <c r="U11" s="241">
        <f t="shared" si="11"/>
        <v>30149.466275679857</v>
      </c>
      <c r="V11" s="232"/>
      <c r="W11" s="232"/>
      <c r="X11" s="233">
        <f t="shared" si="12"/>
        <v>1996</v>
      </c>
      <c r="Y11" s="241">
        <f>I48</f>
        <v>24089.999954694238</v>
      </c>
      <c r="Z11" s="245">
        <f>I73</f>
        <v>1.238921511182297</v>
      </c>
      <c r="AA11" s="241">
        <f t="shared" si="13"/>
        <v>29845.619148251255</v>
      </c>
      <c r="AB11" s="232"/>
      <c r="AE11" s="233">
        <f t="shared" si="14"/>
        <v>1996</v>
      </c>
      <c r="AF11" s="234">
        <v>50599.2</v>
      </c>
      <c r="AG11" s="248">
        <v>0.7</v>
      </c>
      <c r="AH11" s="234">
        <f t="shared" si="15"/>
        <v>35419.439999999995</v>
      </c>
      <c r="AI11" s="234"/>
      <c r="AJ11" s="245">
        <f>I37</f>
        <v>0.07086774836223242</v>
      </c>
      <c r="AK11" s="246">
        <f t="shared" si="16"/>
        <v>2510.095961051189</v>
      </c>
      <c r="AL11" s="234">
        <f>I11</f>
        <v>28012.841486399364</v>
      </c>
      <c r="AM11" s="234">
        <f t="shared" si="17"/>
        <v>30522.937447450553</v>
      </c>
      <c r="AN11" s="232"/>
      <c r="AO11" s="245">
        <f>I74</f>
        <v>0.19284636599318983</v>
      </c>
      <c r="AP11" s="246">
        <f t="shared" si="18"/>
        <v>6830.510289513826</v>
      </c>
      <c r="AQ11" s="234">
        <f>I48</f>
        <v>24089.999954694238</v>
      </c>
      <c r="AR11" s="234">
        <f t="shared" si="19"/>
        <v>30920.510244208064</v>
      </c>
      <c r="AS11" s="232"/>
      <c r="BE11" s="233">
        <f t="shared" si="0"/>
        <v>1998</v>
      </c>
      <c r="BF11" s="243">
        <f t="shared" si="2"/>
        <v>57635.08109163893</v>
      </c>
      <c r="BG11" s="243">
        <f t="shared" si="3"/>
        <v>52870.15493235431</v>
      </c>
      <c r="BH11" s="243">
        <f t="shared" si="4"/>
        <v>56267.798467318426</v>
      </c>
      <c r="BI11" s="243">
        <f t="shared" si="5"/>
        <v>51725.62099977114</v>
      </c>
      <c r="BJ11" s="232"/>
      <c r="BK11" s="243">
        <f t="shared" si="6"/>
        <v>54624.663872770696</v>
      </c>
      <c r="BL11" s="243">
        <f t="shared" si="7"/>
        <v>16117.0679520298</v>
      </c>
      <c r="BM11" s="243">
        <f t="shared" si="8"/>
        <v>5766.897679889902</v>
      </c>
      <c r="BN11" s="252">
        <f t="shared" si="9"/>
        <v>0.7858533142392562</v>
      </c>
      <c r="BO11" s="232"/>
    </row>
    <row r="12" spans="1:67" ht="12.75">
      <c r="A12" s="232"/>
      <c r="B12" s="233">
        <f t="shared" si="10"/>
        <v>1997</v>
      </c>
      <c r="C12" s="234">
        <v>18192.1992051863</v>
      </c>
      <c r="D12" s="234">
        <v>28346.966890176573</v>
      </c>
      <c r="E12" s="234">
        <v>31148.22895079808</v>
      </c>
      <c r="F12" s="234">
        <v>36609.855716547136</v>
      </c>
      <c r="G12" s="234">
        <v>38741.867636911156</v>
      </c>
      <c r="H12" s="234">
        <v>40011.083684047764</v>
      </c>
      <c r="I12" s="234"/>
      <c r="J12" s="234"/>
      <c r="K12" s="234"/>
      <c r="L12" s="234"/>
      <c r="M12" s="232"/>
      <c r="P12" s="18"/>
      <c r="R12" s="233">
        <f t="shared" si="1"/>
        <v>1997</v>
      </c>
      <c r="S12" s="241">
        <f>H12</f>
        <v>40011.083684047764</v>
      </c>
      <c r="T12" s="245">
        <f>H36</f>
        <v>1.123345104333646</v>
      </c>
      <c r="U12" s="241">
        <f t="shared" si="11"/>
        <v>44946.25497555888</v>
      </c>
      <c r="V12" s="232"/>
      <c r="W12" s="232"/>
      <c r="X12" s="233">
        <f t="shared" si="12"/>
        <v>1997</v>
      </c>
      <c r="Y12" s="241">
        <f>H49</f>
        <v>32988.90290793561</v>
      </c>
      <c r="Z12" s="245">
        <f>H73</f>
        <v>1.2984682613587275</v>
      </c>
      <c r="AA12" s="241">
        <f t="shared" si="13"/>
        <v>42835.04340299902</v>
      </c>
      <c r="AB12" s="232"/>
      <c r="AE12" s="233">
        <f t="shared" si="14"/>
        <v>1997</v>
      </c>
      <c r="AF12" s="234">
        <v>64637.4</v>
      </c>
      <c r="AG12" s="248">
        <v>0.7</v>
      </c>
      <c r="AH12" s="234">
        <f t="shared" si="15"/>
        <v>45246.18</v>
      </c>
      <c r="AI12" s="234"/>
      <c r="AJ12" s="245">
        <f>H37</f>
        <v>0.10980161293070545</v>
      </c>
      <c r="AK12" s="246">
        <f t="shared" si="16"/>
        <v>4968.103542953027</v>
      </c>
      <c r="AL12" s="234">
        <f>H12</f>
        <v>40011.083684047764</v>
      </c>
      <c r="AM12" s="234">
        <f t="shared" si="17"/>
        <v>44979.18722700079</v>
      </c>
      <c r="AN12" s="232"/>
      <c r="AO12" s="245">
        <f>H74</f>
        <v>0.22986180736247486</v>
      </c>
      <c r="AP12" s="246">
        <f t="shared" si="18"/>
        <v>10400.368711047862</v>
      </c>
      <c r="AQ12" s="234">
        <f>H49</f>
        <v>32988.90290793561</v>
      </c>
      <c r="AR12" s="234">
        <f t="shared" si="19"/>
        <v>43389.271618983475</v>
      </c>
      <c r="AS12" s="232"/>
      <c r="BE12" s="233">
        <f t="shared" si="0"/>
        <v>1999</v>
      </c>
      <c r="BF12" s="243">
        <f t="shared" si="2"/>
        <v>79118.66374409289</v>
      </c>
      <c r="BG12" s="243">
        <f t="shared" si="3"/>
        <v>69829.63423213936</v>
      </c>
      <c r="BH12" s="243">
        <f t="shared" si="4"/>
        <v>75340.60043070448</v>
      </c>
      <c r="BI12" s="243">
        <f t="shared" si="5"/>
        <v>66899.19193677646</v>
      </c>
      <c r="BJ12" s="232"/>
      <c r="BK12" s="243">
        <f t="shared" si="6"/>
        <v>72797.0225859283</v>
      </c>
      <c r="BL12" s="243">
        <f t="shared" si="7"/>
        <v>25027.40910193495</v>
      </c>
      <c r="BM12" s="243">
        <f t="shared" si="8"/>
        <v>9779.230615238448</v>
      </c>
      <c r="BN12" s="252">
        <f t="shared" si="9"/>
        <v>0.8415354324712825</v>
      </c>
      <c r="BO12" s="232"/>
    </row>
    <row r="13" spans="1:67" ht="12.75">
      <c r="A13" s="232"/>
      <c r="B13" s="233">
        <f t="shared" si="10"/>
        <v>1998</v>
      </c>
      <c r="C13" s="234">
        <v>23441.763556033824</v>
      </c>
      <c r="D13" s="234">
        <v>35374.65378482794</v>
      </c>
      <c r="E13" s="234">
        <v>42658.72356552513</v>
      </c>
      <c r="F13" s="234">
        <v>46365.27025175372</v>
      </c>
      <c r="G13" s="234">
        <v>48857.766192880794</v>
      </c>
      <c r="H13" s="234"/>
      <c r="I13" s="234"/>
      <c r="J13" s="234"/>
      <c r="K13" s="234"/>
      <c r="L13" s="234"/>
      <c r="M13" s="232"/>
      <c r="P13" s="18"/>
      <c r="R13" s="233">
        <f t="shared" si="1"/>
        <v>1998</v>
      </c>
      <c r="S13" s="241">
        <f>G13</f>
        <v>48857.766192880794</v>
      </c>
      <c r="T13" s="245">
        <f>G36</f>
        <v>1.1796503520874662</v>
      </c>
      <c r="U13" s="241">
        <f t="shared" si="11"/>
        <v>57635.08109163893</v>
      </c>
      <c r="V13" s="232"/>
      <c r="W13" s="232"/>
      <c r="X13" s="233">
        <f t="shared" si="12"/>
        <v>1998</v>
      </c>
      <c r="Y13" s="241">
        <f>G50</f>
        <v>38507.595920740896</v>
      </c>
      <c r="Z13" s="245">
        <f>G73</f>
        <v>1.372979893140446</v>
      </c>
      <c r="AA13" s="241">
        <f t="shared" si="13"/>
        <v>52870.15493235431</v>
      </c>
      <c r="AB13" s="232"/>
      <c r="AE13" s="233">
        <f t="shared" si="14"/>
        <v>1998</v>
      </c>
      <c r="AF13" s="234">
        <v>69510</v>
      </c>
      <c r="AG13" s="248">
        <v>0.7</v>
      </c>
      <c r="AH13" s="234">
        <f t="shared" si="15"/>
        <v>48657</v>
      </c>
      <c r="AI13" s="234"/>
      <c r="AJ13" s="245">
        <f>G37</f>
        <v>0.15229118676526776</v>
      </c>
      <c r="AK13" s="246">
        <f t="shared" si="16"/>
        <v>7410.0322744376335</v>
      </c>
      <c r="AL13" s="234">
        <f>G13</f>
        <v>48857.766192880794</v>
      </c>
      <c r="AM13" s="234">
        <f t="shared" si="17"/>
        <v>56267.798467318426</v>
      </c>
      <c r="AN13" s="232"/>
      <c r="AO13" s="245">
        <f>G74</f>
        <v>0.27165721435826795</v>
      </c>
      <c r="AP13" s="246">
        <f t="shared" si="18"/>
        <v>13218.025079030243</v>
      </c>
      <c r="AQ13" s="234">
        <f>G50</f>
        <v>38507.595920740896</v>
      </c>
      <c r="AR13" s="234">
        <f t="shared" si="19"/>
        <v>51725.62099977114</v>
      </c>
      <c r="AS13" s="232"/>
      <c r="BE13" s="233">
        <f t="shared" si="0"/>
        <v>2000</v>
      </c>
      <c r="BF13" s="243">
        <f t="shared" si="2"/>
        <v>96198.58188782088</v>
      </c>
      <c r="BG13" s="243">
        <f t="shared" si="3"/>
        <v>77903.54459673949</v>
      </c>
      <c r="BH13" s="243">
        <f t="shared" si="4"/>
        <v>87244.60021942422</v>
      </c>
      <c r="BI13" s="243">
        <f t="shared" si="5"/>
        <v>72555.26779300827</v>
      </c>
      <c r="BJ13" s="232"/>
      <c r="BK13" s="243">
        <f t="shared" si="6"/>
        <v>83475.49862424823</v>
      </c>
      <c r="BL13" s="243">
        <f t="shared" si="7"/>
        <v>37356.229197388675</v>
      </c>
      <c r="BM13" s="243">
        <f t="shared" si="8"/>
        <v>14705.532239786364</v>
      </c>
      <c r="BN13" s="252">
        <f t="shared" si="9"/>
        <v>0.9018128910047007</v>
      </c>
      <c r="BO13" s="232"/>
    </row>
    <row r="14" spans="1:67" ht="12.75">
      <c r="A14" s="232"/>
      <c r="B14" s="233">
        <f t="shared" si="10"/>
        <v>1999</v>
      </c>
      <c r="C14" s="234">
        <v>32176.248728267903</v>
      </c>
      <c r="D14" s="234">
        <v>51426.40001067456</v>
      </c>
      <c r="E14" s="234">
        <v>58333.666718891494</v>
      </c>
      <c r="F14" s="234">
        <v>63017.79197068985</v>
      </c>
      <c r="G14" s="234"/>
      <c r="H14" s="234"/>
      <c r="I14" s="234"/>
      <c r="J14" s="234"/>
      <c r="K14" s="234"/>
      <c r="L14" s="234"/>
      <c r="M14" s="232"/>
      <c r="P14" s="18"/>
      <c r="R14" s="233">
        <f t="shared" si="1"/>
        <v>1999</v>
      </c>
      <c r="S14" s="241">
        <f>F14</f>
        <v>63017.79197068985</v>
      </c>
      <c r="T14" s="245">
        <f>F36</f>
        <v>1.2554972376831564</v>
      </c>
      <c r="U14" s="241">
        <f t="shared" si="11"/>
        <v>79118.66374409289</v>
      </c>
      <c r="V14" s="232"/>
      <c r="W14" s="232"/>
      <c r="X14" s="233">
        <f t="shared" si="12"/>
        <v>1999</v>
      </c>
      <c r="Y14" s="241">
        <f>F51</f>
        <v>47769.613483993344</v>
      </c>
      <c r="Z14" s="245">
        <f>F73</f>
        <v>1.4618002771895546</v>
      </c>
      <c r="AA14" s="241">
        <f t="shared" si="13"/>
        <v>69829.63423213936</v>
      </c>
      <c r="AB14" s="232"/>
      <c r="AE14" s="233">
        <f t="shared" si="14"/>
        <v>1999</v>
      </c>
      <c r="AF14" s="234">
        <v>86505</v>
      </c>
      <c r="AG14" s="248">
        <v>0.7</v>
      </c>
      <c r="AH14" s="234">
        <f t="shared" si="15"/>
        <v>60553.49999999999</v>
      </c>
      <c r="AI14" s="234"/>
      <c r="AJ14" s="245">
        <f>F37</f>
        <v>0.20350282741731918</v>
      </c>
      <c r="AK14" s="246">
        <f t="shared" si="16"/>
        <v>12322.808460014636</v>
      </c>
      <c r="AL14" s="234">
        <f>F14</f>
        <v>63017.79197068985</v>
      </c>
      <c r="AM14" s="234">
        <f t="shared" si="17"/>
        <v>75340.60043070448</v>
      </c>
      <c r="AN14" s="232"/>
      <c r="AO14" s="245">
        <f>F74</f>
        <v>0.31591201916954625</v>
      </c>
      <c r="AP14" s="246">
        <f t="shared" si="18"/>
        <v>19129.578452783117</v>
      </c>
      <c r="AQ14" s="234">
        <f>F51</f>
        <v>47769.613483993344</v>
      </c>
      <c r="AR14" s="234">
        <f t="shared" si="19"/>
        <v>66899.19193677646</v>
      </c>
      <c r="AS14" s="232"/>
      <c r="BE14" s="233">
        <f t="shared" si="0"/>
        <v>2001</v>
      </c>
      <c r="BF14" s="243">
        <f t="shared" si="2"/>
        <v>91070.97494152393</v>
      </c>
      <c r="BG14" s="243">
        <f t="shared" si="3"/>
        <v>74443.04102747855</v>
      </c>
      <c r="BH14" s="243">
        <f t="shared" si="4"/>
        <v>82281.21612134262</v>
      </c>
      <c r="BI14" s="243">
        <f t="shared" si="5"/>
        <v>70968.58792533593</v>
      </c>
      <c r="BJ14" s="232"/>
      <c r="BK14" s="243">
        <f t="shared" si="6"/>
        <v>79690.95500392026</v>
      </c>
      <c r="BL14" s="243">
        <f t="shared" si="7"/>
        <v>45854.354378756965</v>
      </c>
      <c r="BM14" s="243">
        <f t="shared" si="8"/>
        <v>23427.63083486596</v>
      </c>
      <c r="BN14" s="252">
        <f t="shared" si="9"/>
        <v>0.8194636480237606</v>
      </c>
      <c r="BO14" s="232"/>
    </row>
    <row r="15" spans="1:67" ht="12.75">
      <c r="A15" s="232"/>
      <c r="B15" s="233">
        <f t="shared" si="10"/>
        <v>2000</v>
      </c>
      <c r="C15" s="234">
        <v>43430.85388426408</v>
      </c>
      <c r="D15" s="234">
        <v>60794.62755586701</v>
      </c>
      <c r="E15" s="234">
        <v>68769.96638446186</v>
      </c>
      <c r="F15" s="234"/>
      <c r="G15" s="234"/>
      <c r="H15" s="234"/>
      <c r="I15" s="234"/>
      <c r="J15" s="234"/>
      <c r="K15" s="234"/>
      <c r="L15" s="234"/>
      <c r="M15" s="232"/>
      <c r="P15" s="18"/>
      <c r="R15" s="233">
        <f t="shared" si="1"/>
        <v>2000</v>
      </c>
      <c r="S15" s="241">
        <f>E15</f>
        <v>68769.96638446186</v>
      </c>
      <c r="T15" s="245">
        <f>E36</f>
        <v>1.3988458471830276</v>
      </c>
      <c r="U15" s="241">
        <f t="shared" si="11"/>
        <v>96198.58188782088</v>
      </c>
      <c r="V15" s="232"/>
      <c r="W15" s="232"/>
      <c r="X15" s="233">
        <f t="shared" si="12"/>
        <v>2000</v>
      </c>
      <c r="Y15" s="241">
        <f>E52</f>
        <v>46119.26942685955</v>
      </c>
      <c r="Z15" s="245">
        <f>E73</f>
        <v>1.689175599806206</v>
      </c>
      <c r="AA15" s="241">
        <f t="shared" si="13"/>
        <v>77903.54459673949</v>
      </c>
      <c r="AB15" s="232"/>
      <c r="AE15" s="233">
        <f t="shared" si="14"/>
        <v>2000</v>
      </c>
      <c r="AF15" s="234">
        <v>92564.1</v>
      </c>
      <c r="AG15" s="248">
        <v>0.7</v>
      </c>
      <c r="AH15" s="234">
        <f t="shared" si="15"/>
        <v>64794.87</v>
      </c>
      <c r="AI15" s="234"/>
      <c r="AJ15" s="245">
        <f>E37</f>
        <v>0.28512494638792163</v>
      </c>
      <c r="AK15" s="246">
        <f t="shared" si="16"/>
        <v>18474.63383496235</v>
      </c>
      <c r="AL15" s="234">
        <f>E15</f>
        <v>68769.96638446186</v>
      </c>
      <c r="AM15" s="234">
        <f t="shared" si="17"/>
        <v>87244.60021942422</v>
      </c>
      <c r="AN15" s="232"/>
      <c r="AO15" s="245">
        <f>E74</f>
        <v>0.40799523737216725</v>
      </c>
      <c r="AP15" s="246">
        <f t="shared" si="18"/>
        <v>26435.99836614872</v>
      </c>
      <c r="AQ15" s="234">
        <f>E52</f>
        <v>46119.26942685955</v>
      </c>
      <c r="AR15" s="234">
        <f t="shared" si="19"/>
        <v>72555.26779300827</v>
      </c>
      <c r="AS15" s="232"/>
      <c r="BE15" s="233">
        <f t="shared" si="0"/>
        <v>2002</v>
      </c>
      <c r="BF15" s="243">
        <f t="shared" si="2"/>
        <v>94682.27993039813</v>
      </c>
      <c r="BG15" s="243">
        <f t="shared" si="3"/>
        <v>72914.48665179583</v>
      </c>
      <c r="BH15" s="243">
        <f t="shared" si="4"/>
        <v>83451.85078891995</v>
      </c>
      <c r="BI15" s="243">
        <f t="shared" si="5"/>
        <v>74791.74373577621</v>
      </c>
      <c r="BJ15" s="232"/>
      <c r="BK15" s="243">
        <f t="shared" si="6"/>
        <v>81460.09027672253</v>
      </c>
      <c r="BL15" s="243">
        <f t="shared" si="7"/>
        <v>66498.54090153045</v>
      </c>
      <c r="BM15" s="243">
        <f t="shared" si="8"/>
        <v>41571.619830233096</v>
      </c>
      <c r="BN15" s="252">
        <f t="shared" si="9"/>
        <v>0.7575026272341936</v>
      </c>
      <c r="BO15" s="232"/>
    </row>
    <row r="16" spans="1:67" ht="12.75">
      <c r="A16" s="232"/>
      <c r="B16" s="233">
        <f t="shared" si="10"/>
        <v>2001</v>
      </c>
      <c r="C16" s="234">
        <v>40151.671578197085</v>
      </c>
      <c r="D16" s="234">
        <v>56263.3241690543</v>
      </c>
      <c r="E16" s="234"/>
      <c r="F16" s="234"/>
      <c r="G16" s="234"/>
      <c r="H16" s="234"/>
      <c r="I16" s="234"/>
      <c r="J16" s="234"/>
      <c r="K16" s="234"/>
      <c r="L16" s="234"/>
      <c r="M16" s="232"/>
      <c r="P16" s="18"/>
      <c r="R16" s="233">
        <f t="shared" si="1"/>
        <v>2001</v>
      </c>
      <c r="S16" s="241">
        <f>D16</f>
        <v>56263.3241690543</v>
      </c>
      <c r="T16" s="245">
        <f>D36</f>
        <v>1.6186561367736316</v>
      </c>
      <c r="U16" s="241">
        <f t="shared" si="11"/>
        <v>91070.97494152393</v>
      </c>
      <c r="V16" s="232"/>
      <c r="W16" s="232"/>
      <c r="X16" s="233">
        <f t="shared" si="12"/>
        <v>2001</v>
      </c>
      <c r="Y16" s="241">
        <f>D53</f>
        <v>33836.60062516329</v>
      </c>
      <c r="Z16" s="245">
        <f>D73</f>
        <v>2.2000744652853053</v>
      </c>
      <c r="AA16" s="241">
        <f t="shared" si="13"/>
        <v>74443.04102747855</v>
      </c>
      <c r="AB16" s="232"/>
      <c r="AE16" s="233">
        <f t="shared" si="14"/>
        <v>2001</v>
      </c>
      <c r="AF16" s="234">
        <v>97247.7</v>
      </c>
      <c r="AG16" s="248">
        <v>0.7</v>
      </c>
      <c r="AH16" s="234">
        <f t="shared" si="15"/>
        <v>68073.39</v>
      </c>
      <c r="AI16" s="234"/>
      <c r="AJ16" s="245">
        <f>D37</f>
        <v>0.3822035593098613</v>
      </c>
      <c r="AK16" s="246">
        <f t="shared" si="16"/>
        <v>26017.89195228832</v>
      </c>
      <c r="AL16" s="234">
        <f>D16</f>
        <v>56263.3241690543</v>
      </c>
      <c r="AM16" s="234">
        <f t="shared" si="17"/>
        <v>82281.21612134262</v>
      </c>
      <c r="AN16" s="232"/>
      <c r="AO16" s="245">
        <f>D74</f>
        <v>0.5454699303233266</v>
      </c>
      <c r="AP16" s="246">
        <f t="shared" si="18"/>
        <v>37131.98730017264</v>
      </c>
      <c r="AQ16" s="234">
        <f>D53</f>
        <v>33836.60062516329</v>
      </c>
      <c r="AR16" s="234">
        <f t="shared" si="19"/>
        <v>70968.58792533593</v>
      </c>
      <c r="AS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</row>
    <row r="17" spans="1:67" ht="13.5" thickBot="1">
      <c r="A17" s="232"/>
      <c r="B17" s="233">
        <f>curryr</f>
        <v>2002</v>
      </c>
      <c r="C17" s="234">
        <v>39888.47044648944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2"/>
      <c r="P17" s="18"/>
      <c r="R17" s="233">
        <f t="shared" si="1"/>
        <v>2002</v>
      </c>
      <c r="S17" s="241">
        <f>C17</f>
        <v>39888.47044648944</v>
      </c>
      <c r="T17" s="245">
        <f>C36</f>
        <v>2.3736753721207444</v>
      </c>
      <c r="U17" s="241">
        <f t="shared" si="11"/>
        <v>94682.27993039813</v>
      </c>
      <c r="V17" s="232"/>
      <c r="W17" s="232"/>
      <c r="X17" s="233">
        <f t="shared" si="12"/>
        <v>2002</v>
      </c>
      <c r="Y17" s="241">
        <f>C54</f>
        <v>14961.549375192095</v>
      </c>
      <c r="Z17" s="245">
        <f>C73</f>
        <v>4.873458277836928</v>
      </c>
      <c r="AA17" s="241">
        <f t="shared" si="13"/>
        <v>72914.48665179583</v>
      </c>
      <c r="AB17" s="232"/>
      <c r="AE17" s="233">
        <f t="shared" si="14"/>
        <v>2002</v>
      </c>
      <c r="AF17" s="234">
        <v>107537.7</v>
      </c>
      <c r="AG17" s="249">
        <v>0.7</v>
      </c>
      <c r="AH17" s="234">
        <f t="shared" si="15"/>
        <v>75276.39</v>
      </c>
      <c r="AI17" s="234"/>
      <c r="AJ17" s="245">
        <f>C37</f>
        <v>0.5787124002948404</v>
      </c>
      <c r="AK17" s="246">
        <f t="shared" si="16"/>
        <v>43563.38034243052</v>
      </c>
      <c r="AL17" s="234">
        <f>C17</f>
        <v>39888.47044648944</v>
      </c>
      <c r="AM17" s="234">
        <f t="shared" si="17"/>
        <v>83451.85078891995</v>
      </c>
      <c r="AN17" s="232"/>
      <c r="AO17" s="245">
        <f>C74</f>
        <v>0.7948069024110231</v>
      </c>
      <c r="AP17" s="246">
        <f t="shared" si="18"/>
        <v>59830.194360584115</v>
      </c>
      <c r="AQ17" s="234">
        <f>C54</f>
        <v>14961.549375192095</v>
      </c>
      <c r="AR17" s="234">
        <f t="shared" si="19"/>
        <v>74791.74373577621</v>
      </c>
      <c r="AS17" s="232"/>
      <c r="BE17" s="241" t="s">
        <v>8</v>
      </c>
      <c r="BF17" s="243">
        <f>SUM(BF6:BF15)</f>
        <v>576305.5296953396</v>
      </c>
      <c r="BG17" s="243">
        <f>SUM(BG6:BG15)</f>
        <v>501342.11872588703</v>
      </c>
      <c r="BH17" s="243">
        <f>SUM(BH6:BH15)</f>
        <v>542997.9003162273</v>
      </c>
      <c r="BI17" s="243">
        <f>SUM(BI6:BI15)</f>
        <v>493326.32172648516</v>
      </c>
      <c r="BJ17" s="232"/>
      <c r="BK17" s="243">
        <f>SUM(BK6:BK15)</f>
        <v>528492.9676159848</v>
      </c>
      <c r="BL17" s="243">
        <f>SUM(BL6:BL15)</f>
        <v>216910.88026607916</v>
      </c>
      <c r="BM17" s="243">
        <f>SUM(BM6:BM15)</f>
        <v>103513.90287670502</v>
      </c>
      <c r="BN17" s="252">
        <f>BK17/AF19</f>
        <v>0.7437474670255629</v>
      </c>
      <c r="BO17" s="232"/>
    </row>
    <row r="18" spans="1:67" ht="6.7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P18" s="18"/>
      <c r="R18" s="232"/>
      <c r="S18" s="233"/>
      <c r="T18" s="232"/>
      <c r="U18" s="233"/>
      <c r="V18" s="232"/>
      <c r="W18" s="232"/>
      <c r="X18" s="232"/>
      <c r="Y18" s="233"/>
      <c r="Z18" s="233"/>
      <c r="AA18" s="233"/>
      <c r="AB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</row>
    <row r="19" spans="1:45" ht="12.75">
      <c r="A19" s="232"/>
      <c r="B19" s="233" t="str">
        <f aca="true" t="shared" si="20" ref="B19:B29">B6</f>
        <v>Accident</v>
      </c>
      <c r="C19" s="232"/>
      <c r="D19" s="232" t="s">
        <v>179</v>
      </c>
      <c r="E19" s="232"/>
      <c r="F19" s="232"/>
      <c r="G19" s="232"/>
      <c r="H19" s="232"/>
      <c r="I19" s="232"/>
      <c r="J19" s="232"/>
      <c r="K19" s="232"/>
      <c r="L19" s="232"/>
      <c r="M19" s="232"/>
      <c r="P19" s="18"/>
      <c r="R19" s="241" t="s">
        <v>8</v>
      </c>
      <c r="S19" s="242">
        <f>SUM(S8:S17)</f>
        <v>424979.0647392798</v>
      </c>
      <c r="T19" s="232"/>
      <c r="U19" s="242">
        <f>SUM(U8:U17)</f>
        <v>576305.5296953396</v>
      </c>
      <c r="V19" s="232"/>
      <c r="W19" s="232"/>
      <c r="X19" s="241" t="s">
        <v>8</v>
      </c>
      <c r="Y19" s="242">
        <f>SUM(Y8:Y17)</f>
        <v>311582.08734990563</v>
      </c>
      <c r="Z19" s="233"/>
      <c r="AA19" s="242">
        <f>SUM(AA8:AA17)</f>
        <v>501342.11872588703</v>
      </c>
      <c r="AB19" s="232"/>
      <c r="AE19" s="241" t="s">
        <v>8</v>
      </c>
      <c r="AF19" s="243">
        <f>SUM(AF8:AF17)</f>
        <v>710581.1999999998</v>
      </c>
      <c r="AG19" s="241"/>
      <c r="AH19" s="243">
        <f>SUM(AH8:AH17)</f>
        <v>497406.83999999997</v>
      </c>
      <c r="AI19" s="243"/>
      <c r="AJ19" s="241"/>
      <c r="AK19" s="243">
        <f>SUM(AK8:AK17)</f>
        <v>118018.83557694759</v>
      </c>
      <c r="AL19" s="243">
        <f>SUM(AL8:AL17)</f>
        <v>424979.0647392798</v>
      </c>
      <c r="AM19" s="243">
        <f>SUM(AM8:AM17)</f>
        <v>542997.9003162273</v>
      </c>
      <c r="AN19" s="243"/>
      <c r="AO19" s="232"/>
      <c r="AP19" s="243">
        <f>SUM(AP8:AP17)</f>
        <v>181744.23437657952</v>
      </c>
      <c r="AQ19" s="243">
        <f>SUM(AQ8:AQ17)</f>
        <v>311582.08734990563</v>
      </c>
      <c r="AR19" s="243">
        <f>SUM(AR8:AR17)</f>
        <v>493326.32172648516</v>
      </c>
      <c r="AS19" s="232"/>
    </row>
    <row r="20" spans="1:45" ht="12.75">
      <c r="A20" s="232"/>
      <c r="B20" s="250" t="str">
        <f t="shared" si="20"/>
        <v>Year</v>
      </c>
      <c r="C20" s="250" t="str">
        <f aca="true" t="shared" si="21" ref="C20:K20">C7&amp;" - "&amp;D7</f>
        <v>12 - 24</v>
      </c>
      <c r="D20" s="250" t="str">
        <f t="shared" si="21"/>
        <v>24 - 36</v>
      </c>
      <c r="E20" s="250" t="str">
        <f t="shared" si="21"/>
        <v>36 - 48</v>
      </c>
      <c r="F20" s="250" t="str">
        <f t="shared" si="21"/>
        <v>48 - 60</v>
      </c>
      <c r="G20" s="250" t="str">
        <f t="shared" si="21"/>
        <v>60 - 72</v>
      </c>
      <c r="H20" s="250" t="str">
        <f t="shared" si="21"/>
        <v>72 - 84</v>
      </c>
      <c r="I20" s="250" t="str">
        <f t="shared" si="21"/>
        <v>84 - 96</v>
      </c>
      <c r="J20" s="250" t="str">
        <f t="shared" si="21"/>
        <v>96 - 108</v>
      </c>
      <c r="K20" s="250" t="str">
        <f t="shared" si="21"/>
        <v>108 - 120</v>
      </c>
      <c r="L20" s="250" t="str">
        <f>L7&amp;" - ULT"</f>
        <v>120 - ULT</v>
      </c>
      <c r="M20" s="232"/>
      <c r="P20" s="18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</row>
    <row r="21" spans="1:58" ht="12.75">
      <c r="A21" s="232"/>
      <c r="B21" s="233">
        <f t="shared" si="20"/>
        <v>1993</v>
      </c>
      <c r="C21" s="235">
        <f aca="true" t="shared" si="22" ref="C21:K21">D8/C8</f>
        <v>1.3783720974351195</v>
      </c>
      <c r="D21" s="235">
        <f t="shared" si="22"/>
        <v>1.0564434825394748</v>
      </c>
      <c r="E21" s="235">
        <f t="shared" si="22"/>
        <v>1.1108715406587608</v>
      </c>
      <c r="F21" s="235">
        <f t="shared" si="22"/>
        <v>1.0271614204625417</v>
      </c>
      <c r="G21" s="235">
        <f t="shared" si="22"/>
        <v>1.060309398628964</v>
      </c>
      <c r="H21" s="235">
        <f t="shared" si="22"/>
        <v>1.0275446475684764</v>
      </c>
      <c r="I21" s="235">
        <f t="shared" si="22"/>
        <v>1.061529461311131</v>
      </c>
      <c r="J21" s="235">
        <f t="shared" si="22"/>
        <v>1.007362170969754</v>
      </c>
      <c r="K21" s="235">
        <f t="shared" si="22"/>
        <v>1.0147208368390361</v>
      </c>
      <c r="L21" s="235"/>
      <c r="M21" s="232"/>
      <c r="P21" s="18"/>
      <c r="BF21" s="25" t="s">
        <v>230</v>
      </c>
    </row>
    <row r="22" spans="1:16" ht="12.75">
      <c r="A22" s="232"/>
      <c r="B22" s="233">
        <f t="shared" si="20"/>
        <v>1994</v>
      </c>
      <c r="C22" s="235">
        <f aca="true" t="shared" si="23" ref="C22:J22">D9/C9</f>
        <v>1.2135214586012735</v>
      </c>
      <c r="D22" s="235">
        <f t="shared" si="23"/>
        <v>1.159480244203289</v>
      </c>
      <c r="E22" s="235">
        <f t="shared" si="23"/>
        <v>1.0560870416812287</v>
      </c>
      <c r="F22" s="235">
        <f t="shared" si="23"/>
        <v>1.0786847792343934</v>
      </c>
      <c r="G22" s="235">
        <f t="shared" si="23"/>
        <v>1.0549212398280907</v>
      </c>
      <c r="H22" s="235">
        <f t="shared" si="23"/>
        <v>1.0645586613917202</v>
      </c>
      <c r="I22" s="235">
        <f t="shared" si="23"/>
        <v>1.0152527005467544</v>
      </c>
      <c r="J22" s="235">
        <f t="shared" si="23"/>
        <v>1.0162214839956825</v>
      </c>
      <c r="K22" s="235"/>
      <c r="L22" s="235"/>
      <c r="M22" s="232"/>
      <c r="P22" s="18"/>
    </row>
    <row r="23" spans="1:32" ht="12.75">
      <c r="A23" s="232"/>
      <c r="B23" s="233">
        <f t="shared" si="20"/>
        <v>1995</v>
      </c>
      <c r="C23" s="235">
        <f aca="true" t="shared" si="24" ref="C23:I23">D10/C10</f>
        <v>1.2877224709981452</v>
      </c>
      <c r="D23" s="235">
        <f t="shared" si="24"/>
        <v>1.1598441168512015</v>
      </c>
      <c r="E23" s="235">
        <f t="shared" si="24"/>
        <v>1.0719376594495393</v>
      </c>
      <c r="F23" s="235">
        <f t="shared" si="24"/>
        <v>1.0469541730985856</v>
      </c>
      <c r="G23" s="235">
        <f t="shared" si="24"/>
        <v>1.0857248137462607</v>
      </c>
      <c r="H23" s="235">
        <f t="shared" si="24"/>
        <v>1.0432414092006044</v>
      </c>
      <c r="I23" s="235">
        <f t="shared" si="24"/>
        <v>1.0224877147038933</v>
      </c>
      <c r="J23" s="235"/>
      <c r="K23" s="235"/>
      <c r="L23" s="235"/>
      <c r="M23" s="232"/>
      <c r="P23" s="23"/>
      <c r="S23" s="25" t="s">
        <v>228</v>
      </c>
      <c r="AF23" s="25" t="s">
        <v>229</v>
      </c>
    </row>
    <row r="24" spans="1:13" ht="12.75">
      <c r="A24" s="232"/>
      <c r="B24" s="233">
        <f t="shared" si="20"/>
        <v>1996</v>
      </c>
      <c r="C24" s="235">
        <f aca="true" t="shared" si="25" ref="C24:C29">D11/C11</f>
        <v>1.455420190872672</v>
      </c>
      <c r="D24" s="235">
        <f>IF(OR(D11=0,E11=""),"",E11/D11)</f>
        <v>1.059084309332556</v>
      </c>
      <c r="E24" s="235">
        <f>IF(OR(E11=0,F11=""),"",F11/E11)</f>
        <v>1.043391612319139</v>
      </c>
      <c r="F24" s="235">
        <f>IF(OR(F11=0,G11=""),"",G11/F11)</f>
        <v>1.0808943883035331</v>
      </c>
      <c r="G24" s="235">
        <f>IF(OR(G11=0,H11=""),"",H11/G11)</f>
        <v>1.031882870515938</v>
      </c>
      <c r="H24" s="235">
        <f>IF(OR(H11=0,I11=""),"",I11/H11)</f>
        <v>1.0234084278750266</v>
      </c>
      <c r="I24" s="235"/>
      <c r="J24" s="235"/>
      <c r="K24" s="235"/>
      <c r="L24" s="235"/>
      <c r="M24" s="232"/>
    </row>
    <row r="25" spans="1:61" ht="12.75">
      <c r="A25" s="232"/>
      <c r="B25" s="233">
        <f t="shared" si="20"/>
        <v>1997</v>
      </c>
      <c r="C25" s="235">
        <f t="shared" si="25"/>
        <v>1.5581935185766496</v>
      </c>
      <c r="D25" s="235">
        <f aca="true" t="shared" si="26" ref="D25:G29">IF(OR(D12=0,E12=""),"",E12/D12)</f>
        <v>1.098820521838344</v>
      </c>
      <c r="E25" s="235">
        <f t="shared" si="26"/>
        <v>1.1753430917172296</v>
      </c>
      <c r="F25" s="235">
        <f t="shared" si="26"/>
        <v>1.058236009911407</v>
      </c>
      <c r="G25" s="235">
        <f t="shared" si="26"/>
        <v>1.0327608379397633</v>
      </c>
      <c r="H25" s="235">
        <f>IF(OR(H12=0,L12=""),"",L12/H12)</f>
      </c>
      <c r="I25" s="235"/>
      <c r="J25" s="235"/>
      <c r="K25" s="235"/>
      <c r="L25" s="235"/>
      <c r="M25" s="232"/>
      <c r="BF25" s="8"/>
      <c r="BG25" s="8" t="s">
        <v>180</v>
      </c>
      <c r="BH25" s="8"/>
      <c r="BI25" s="8"/>
    </row>
    <row r="26" spans="1:66" ht="12.75">
      <c r="A26" s="232"/>
      <c r="B26" s="233">
        <f t="shared" si="20"/>
        <v>1998</v>
      </c>
      <c r="C26" s="235">
        <f t="shared" si="25"/>
        <v>1.5090440486813388</v>
      </c>
      <c r="D26" s="235">
        <f t="shared" si="26"/>
        <v>1.2059121150698384</v>
      </c>
      <c r="E26" s="235">
        <f t="shared" si="26"/>
        <v>1.0868883636552138</v>
      </c>
      <c r="F26" s="235">
        <f t="shared" si="26"/>
        <v>1.0537578219126804</v>
      </c>
      <c r="G26" s="235">
        <f t="shared" si="26"/>
      </c>
      <c r="H26" s="235">
        <f>IF(OR(H13=0,L13=""),"",L13/H13)</f>
      </c>
      <c r="I26" s="235"/>
      <c r="J26" s="235"/>
      <c r="K26" s="235"/>
      <c r="L26" s="235"/>
      <c r="M26" s="232"/>
      <c r="BE26" s="19" t="str">
        <f aca="true" t="shared" si="27" ref="BE26:BE37">BE4</f>
        <v>Accident</v>
      </c>
      <c r="BF26" s="19" t="s">
        <v>23</v>
      </c>
      <c r="BG26" s="19" t="s">
        <v>32</v>
      </c>
      <c r="BH26" s="19" t="s">
        <v>23</v>
      </c>
      <c r="BI26" s="19" t="s">
        <v>32</v>
      </c>
      <c r="BK26" s="19"/>
      <c r="BL26" s="19"/>
      <c r="BM26" s="19"/>
      <c r="BN26" s="19"/>
    </row>
    <row r="27" spans="1:66" ht="12.75">
      <c r="A27" s="232"/>
      <c r="B27" s="233">
        <f t="shared" si="20"/>
        <v>1999</v>
      </c>
      <c r="C27" s="235">
        <f t="shared" si="25"/>
        <v>1.5982720809059</v>
      </c>
      <c r="D27" s="235">
        <f t="shared" si="26"/>
        <v>1.134313634763141</v>
      </c>
      <c r="E27" s="235">
        <f t="shared" si="26"/>
        <v>1.0802988311084754</v>
      </c>
      <c r="F27" s="235">
        <f t="shared" si="26"/>
      </c>
      <c r="G27" s="235">
        <f t="shared" si="26"/>
      </c>
      <c r="H27" s="235">
        <f>IF(OR(H14=0,L14=""),"",L14/H14)</f>
      </c>
      <c r="I27" s="235"/>
      <c r="J27" s="235"/>
      <c r="K27" s="235"/>
      <c r="L27" s="235"/>
      <c r="M27" s="232"/>
      <c r="BE27" s="20" t="str">
        <f t="shared" si="27"/>
        <v>Year</v>
      </c>
      <c r="BF27" s="20" t="s">
        <v>173</v>
      </c>
      <c r="BG27" s="20" t="s">
        <v>173</v>
      </c>
      <c r="BH27" s="20" t="s">
        <v>174</v>
      </c>
      <c r="BI27" s="20" t="s">
        <v>174</v>
      </c>
      <c r="BK27" s="20"/>
      <c r="BL27" s="20"/>
      <c r="BM27" s="20"/>
      <c r="BN27" s="20"/>
    </row>
    <row r="28" spans="1:66" ht="12.75">
      <c r="A28" s="232"/>
      <c r="B28" s="233">
        <f t="shared" si="20"/>
        <v>2000</v>
      </c>
      <c r="C28" s="235">
        <f t="shared" si="25"/>
        <v>1.3998027236092219</v>
      </c>
      <c r="D28" s="235">
        <f t="shared" si="26"/>
        <v>1.1311849278337291</v>
      </c>
      <c r="E28" s="235">
        <f t="shared" si="26"/>
      </c>
      <c r="F28" s="235">
        <f t="shared" si="26"/>
      </c>
      <c r="G28" s="235">
        <f t="shared" si="26"/>
      </c>
      <c r="H28" s="235">
        <f>IF(OR(H15=0,L15=""),"",L15/H15)</f>
      </c>
      <c r="I28" s="235"/>
      <c r="J28" s="235"/>
      <c r="K28" s="235"/>
      <c r="L28" s="235"/>
      <c r="M28" s="232"/>
      <c r="BE28" s="19">
        <f t="shared" si="27"/>
        <v>1993</v>
      </c>
      <c r="BF28" s="14">
        <f aca="true" t="shared" si="28" ref="BF28:BF37">BF6-AQ8</f>
        <v>1551.8071600843468</v>
      </c>
      <c r="BG28" s="14">
        <f aca="true" t="shared" si="29" ref="BG28:BG37">BG6-AQ8</f>
        <v>1083.795550118106</v>
      </c>
      <c r="BH28" s="14">
        <f aca="true" t="shared" si="30" ref="BH28:BH37">BH6-AQ8</f>
        <v>1659.0842968450925</v>
      </c>
      <c r="BI28" s="14">
        <f aca="true" t="shared" si="31" ref="BI28:BI37">BI6-AQ8</f>
        <v>1415.1215633799402</v>
      </c>
      <c r="BK28" s="14"/>
      <c r="BL28" s="14"/>
      <c r="BM28" s="14"/>
      <c r="BN28" s="21"/>
    </row>
    <row r="29" spans="1:66" ht="12.75">
      <c r="A29" s="232"/>
      <c r="B29" s="233">
        <f t="shared" si="20"/>
        <v>2001</v>
      </c>
      <c r="C29" s="235">
        <f t="shared" si="25"/>
        <v>1.4012697842349873</v>
      </c>
      <c r="D29" s="235">
        <f t="shared" si="26"/>
      </c>
      <c r="E29" s="235">
        <f t="shared" si="26"/>
      </c>
      <c r="F29" s="235">
        <f t="shared" si="26"/>
      </c>
      <c r="G29" s="235">
        <f t="shared" si="26"/>
      </c>
      <c r="H29" s="235">
        <f>IF(OR(H16=0,L16=""),"",L16/H16)</f>
      </c>
      <c r="I29" s="235"/>
      <c r="J29" s="235"/>
      <c r="K29" s="235"/>
      <c r="L29" s="235"/>
      <c r="M29" s="232"/>
      <c r="BE29" s="19">
        <f t="shared" si="27"/>
        <v>1994</v>
      </c>
      <c r="BF29" s="14">
        <f t="shared" si="28"/>
        <v>3028.4458000606173</v>
      </c>
      <c r="BG29" s="14">
        <f t="shared" si="29"/>
        <v>2056.0633785055943</v>
      </c>
      <c r="BH29" s="14">
        <f t="shared" si="30"/>
        <v>3238.252763510456</v>
      </c>
      <c r="BI29" s="14">
        <f t="shared" si="31"/>
        <v>2737.2254705989944</v>
      </c>
      <c r="BK29" s="14"/>
      <c r="BL29" s="14"/>
      <c r="BM29" s="14"/>
      <c r="BN29" s="21"/>
    </row>
    <row r="30" spans="1:66" ht="7.5" customHeight="1">
      <c r="A30" s="232"/>
      <c r="B30" s="233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BE30" s="19">
        <f t="shared" si="27"/>
        <v>1995</v>
      </c>
      <c r="BF30" s="14">
        <f t="shared" si="28"/>
        <v>4615.418233154531</v>
      </c>
      <c r="BG30" s="14">
        <f t="shared" si="29"/>
        <v>4252.180150178923</v>
      </c>
      <c r="BH30" s="14">
        <f t="shared" si="30"/>
        <v>4703.816898384161</v>
      </c>
      <c r="BI30" s="14">
        <f t="shared" si="31"/>
        <v>4615.224783320064</v>
      </c>
      <c r="BK30" s="14"/>
      <c r="BL30" s="14"/>
      <c r="BM30" s="14"/>
      <c r="BN30" s="21"/>
    </row>
    <row r="31" spans="1:66" ht="12.75">
      <c r="A31" s="232"/>
      <c r="B31" s="236" t="s">
        <v>181</v>
      </c>
      <c r="C31" s="237">
        <f aca="true" t="shared" si="32" ref="C31:K31">AVERAGE(C21:C29)</f>
        <v>1.4224020415461451</v>
      </c>
      <c r="D31" s="237">
        <f t="shared" si="32"/>
        <v>1.1256354190539466</v>
      </c>
      <c r="E31" s="237">
        <f t="shared" si="32"/>
        <v>1.0892597343699408</v>
      </c>
      <c r="F31" s="237">
        <f t="shared" si="32"/>
        <v>1.0576147654871901</v>
      </c>
      <c r="G31" s="237">
        <f t="shared" si="32"/>
        <v>1.0531198321318034</v>
      </c>
      <c r="H31" s="237">
        <f t="shared" si="32"/>
        <v>1.039688286508957</v>
      </c>
      <c r="I31" s="237">
        <f t="shared" si="32"/>
        <v>1.0330899588539262</v>
      </c>
      <c r="J31" s="237">
        <f t="shared" si="32"/>
        <v>1.0117918274827182</v>
      </c>
      <c r="K31" s="237">
        <f t="shared" si="32"/>
        <v>1.0147208368390361</v>
      </c>
      <c r="L31" s="232"/>
      <c r="M31" s="232"/>
      <c r="BE31" s="19">
        <f t="shared" si="27"/>
        <v>1996</v>
      </c>
      <c r="BF31" s="14">
        <f t="shared" si="28"/>
        <v>6059.466320985619</v>
      </c>
      <c r="BG31" s="14">
        <f t="shared" si="29"/>
        <v>5755.619193557017</v>
      </c>
      <c r="BH31" s="14">
        <f t="shared" si="30"/>
        <v>6432.937492756315</v>
      </c>
      <c r="BI31" s="14">
        <f t="shared" si="31"/>
        <v>6830.510289513826</v>
      </c>
      <c r="BK31" s="14"/>
      <c r="BL31" s="14"/>
      <c r="BM31" s="14"/>
      <c r="BN31" s="21"/>
    </row>
    <row r="32" spans="1:66" ht="12.75">
      <c r="A32" s="232"/>
      <c r="B32" s="232" t="s">
        <v>182</v>
      </c>
      <c r="C32" s="237">
        <f>AVERAGE(C27:C29)</f>
        <v>1.4664481962500364</v>
      </c>
      <c r="D32" s="237">
        <f>AVERAGE(D26:D28)</f>
        <v>1.1571368925555696</v>
      </c>
      <c r="E32" s="237">
        <f>AVERAGE(E25:E27)</f>
        <v>1.1141767621603063</v>
      </c>
      <c r="F32" s="237">
        <f>AVERAGE(F24:F26)</f>
        <v>1.0642960733758733</v>
      </c>
      <c r="G32" s="237">
        <f>AVERAGE(G23:G25)</f>
        <v>1.0501228407339873</v>
      </c>
      <c r="H32" s="237">
        <f>AVERAGE(H22:H24)</f>
        <v>1.0437361661557836</v>
      </c>
      <c r="I32" s="237">
        <f>AVERAGE(I21:I23)</f>
        <v>1.0330899588539262</v>
      </c>
      <c r="J32" s="232"/>
      <c r="K32" s="232"/>
      <c r="L32" s="232"/>
      <c r="M32" s="232"/>
      <c r="BE32" s="19">
        <f t="shared" si="27"/>
        <v>1997</v>
      </c>
      <c r="BF32" s="14">
        <f t="shared" si="28"/>
        <v>11957.352067623266</v>
      </c>
      <c r="BG32" s="14">
        <f t="shared" si="29"/>
        <v>9846.14049506341</v>
      </c>
      <c r="BH32" s="14">
        <f t="shared" si="30"/>
        <v>11990.284319065177</v>
      </c>
      <c r="BI32" s="14">
        <f t="shared" si="31"/>
        <v>10400.368711047864</v>
      </c>
      <c r="BK32" s="14"/>
      <c r="BL32" s="14"/>
      <c r="BM32" s="14"/>
      <c r="BN32" s="21"/>
    </row>
    <row r="33" spans="1:66" ht="12.75">
      <c r="A33" s="232"/>
      <c r="B33" s="232" t="s">
        <v>183</v>
      </c>
      <c r="C33" s="237">
        <f>(SUM(C21:C29)-MIN(C21:C29)-MAX(C21:C29))/(COUNT(C21:C29)-2)</f>
        <v>1.4271178334868762</v>
      </c>
      <c r="D33" s="237">
        <f>(SUM(D21:D28)-MIN(D21:D28)-MAX(D21:D28))/(COUNT(D21:D28)-2)</f>
        <v>1.1237879591370432</v>
      </c>
      <c r="E33" s="237">
        <f>(SUM(E21:E27)-MIN(E21:E27)-MAX(E21:E27))/(COUNT(E21:E27)-2)</f>
        <v>1.0812166873106435</v>
      </c>
      <c r="F33" s="237">
        <f>(SUM(F21:F26)-MIN(F21:F26)-MAX(F21:F26))/(COUNT(F21:F26)-2)</f>
        <v>1.0594081960392665</v>
      </c>
      <c r="G33" s="237">
        <f>(SUM(G21:G25)-MIN(G21:G25)-MAX(G21:G25))/(COUNT(G21:G25)-2)</f>
        <v>1.0493304921322728</v>
      </c>
      <c r="H33" s="237">
        <f>(SUM(H21:H24)-MIN(H21:H24)-MAX(H21:H24))/(COUNT(H21:H24)-2)</f>
        <v>1.0353930283845405</v>
      </c>
      <c r="I33" s="232"/>
      <c r="J33" s="232"/>
      <c r="K33" s="232"/>
      <c r="L33" s="232"/>
      <c r="M33" s="232"/>
      <c r="BE33" s="19">
        <f t="shared" si="27"/>
        <v>1998</v>
      </c>
      <c r="BF33" s="14">
        <f t="shared" si="28"/>
        <v>19127.485170898035</v>
      </c>
      <c r="BG33" s="14">
        <f t="shared" si="29"/>
        <v>14362.559011613412</v>
      </c>
      <c r="BH33" s="14">
        <f t="shared" si="30"/>
        <v>17760.20254657753</v>
      </c>
      <c r="BI33" s="14">
        <f t="shared" si="31"/>
        <v>13218.025079030245</v>
      </c>
      <c r="BK33" s="14"/>
      <c r="BL33" s="14"/>
      <c r="BM33" s="14"/>
      <c r="BN33" s="21"/>
    </row>
    <row r="34" spans="1:66" ht="9.75" customHeight="1">
      <c r="A34" s="232"/>
      <c r="B34" s="232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2"/>
      <c r="BE34" s="19">
        <f t="shared" si="27"/>
        <v>1999</v>
      </c>
      <c r="BF34" s="14">
        <f t="shared" si="28"/>
        <v>31349.050260099546</v>
      </c>
      <c r="BG34" s="14">
        <f t="shared" si="29"/>
        <v>22060.020748146017</v>
      </c>
      <c r="BH34" s="14">
        <f t="shared" si="30"/>
        <v>27570.986946711135</v>
      </c>
      <c r="BI34" s="14">
        <f t="shared" si="31"/>
        <v>19129.57845278312</v>
      </c>
      <c r="BK34" s="14"/>
      <c r="BL34" s="14"/>
      <c r="BM34" s="14"/>
      <c r="BN34" s="21"/>
    </row>
    <row r="35" spans="1:66" ht="12.75">
      <c r="A35" s="232"/>
      <c r="B35" s="253" t="s">
        <v>83</v>
      </c>
      <c r="C35" s="254">
        <f aca="true" t="shared" si="33" ref="C35:I35">C32</f>
        <v>1.4664481962500364</v>
      </c>
      <c r="D35" s="254">
        <f t="shared" si="33"/>
        <v>1.1571368925555696</v>
      </c>
      <c r="E35" s="254">
        <f t="shared" si="33"/>
        <v>1.1141767621603063</v>
      </c>
      <c r="F35" s="254">
        <f t="shared" si="33"/>
        <v>1.0642960733758733</v>
      </c>
      <c r="G35" s="254">
        <f t="shared" si="33"/>
        <v>1.0501228407339873</v>
      </c>
      <c r="H35" s="254">
        <f t="shared" si="33"/>
        <v>1.0437361661557836</v>
      </c>
      <c r="I35" s="254">
        <f t="shared" si="33"/>
        <v>1.0330899588539262</v>
      </c>
      <c r="J35" s="254">
        <f>J31</f>
        <v>1.0117918274827182</v>
      </c>
      <c r="K35" s="254">
        <f>K31</f>
        <v>1.0147208368390361</v>
      </c>
      <c r="L35" s="254">
        <f>K35</f>
        <v>1.0147208368390361</v>
      </c>
      <c r="M35" s="232"/>
      <c r="BE35" s="19">
        <f t="shared" si="27"/>
        <v>2000</v>
      </c>
      <c r="BF35" s="14">
        <f t="shared" si="28"/>
        <v>50079.31246096133</v>
      </c>
      <c r="BG35" s="14">
        <f t="shared" si="29"/>
        <v>31784.27516987994</v>
      </c>
      <c r="BH35" s="14">
        <f t="shared" si="30"/>
        <v>41125.330792564666</v>
      </c>
      <c r="BI35" s="14">
        <f t="shared" si="31"/>
        <v>26435.99836614872</v>
      </c>
      <c r="BK35" s="14"/>
      <c r="BL35" s="14"/>
      <c r="BM35" s="14"/>
      <c r="BN35" s="21"/>
    </row>
    <row r="36" spans="1:66" ht="12.75">
      <c r="A36" s="232"/>
      <c r="B36" s="232" t="s">
        <v>184</v>
      </c>
      <c r="C36" s="238">
        <f>PRODUCT(C35:$L35)</f>
        <v>2.3736753721207444</v>
      </c>
      <c r="D36" s="238">
        <f>PRODUCT(D35:$L35)</f>
        <v>1.6186561367736316</v>
      </c>
      <c r="E36" s="238">
        <f>PRODUCT(E35:$L35)</f>
        <v>1.3988458471830276</v>
      </c>
      <c r="F36" s="238">
        <f>PRODUCT(F35:$L35)</f>
        <v>1.2554972376831564</v>
      </c>
      <c r="G36" s="238">
        <f>PRODUCT(G35:$L35)</f>
        <v>1.1796503520874662</v>
      </c>
      <c r="H36" s="238">
        <f>PRODUCT(H35:$L35)</f>
        <v>1.123345104333646</v>
      </c>
      <c r="I36" s="238">
        <f>PRODUCT(I35:$L35)</f>
        <v>1.0762730474992284</v>
      </c>
      <c r="J36" s="238">
        <f>PRODUCT(J35:$L35)</f>
        <v>1.0417999306596764</v>
      </c>
      <c r="K36" s="238">
        <f>PRODUCT(K35:$L35)</f>
        <v>1.0296583767153138</v>
      </c>
      <c r="L36" s="238">
        <f>L35</f>
        <v>1.0147208368390361</v>
      </c>
      <c r="M36" s="232"/>
      <c r="BE36" s="19">
        <f t="shared" si="27"/>
        <v>2001</v>
      </c>
      <c r="BF36" s="14">
        <f t="shared" si="28"/>
        <v>57234.37431636064</v>
      </c>
      <c r="BG36" s="14">
        <f t="shared" si="29"/>
        <v>40606.44040231526</v>
      </c>
      <c r="BH36" s="14">
        <f t="shared" si="30"/>
        <v>48444.61549617932</v>
      </c>
      <c r="BI36" s="14">
        <f t="shared" si="31"/>
        <v>37131.98730017264</v>
      </c>
      <c r="BK36" s="14"/>
      <c r="BL36" s="14"/>
      <c r="BM36" s="14"/>
      <c r="BN36" s="21"/>
    </row>
    <row r="37" spans="1:66" ht="12.75">
      <c r="A37" s="232"/>
      <c r="B37" s="232" t="s">
        <v>185</v>
      </c>
      <c r="C37" s="239">
        <f aca="true" t="shared" si="34" ref="C37:L37">1-1/C36</f>
        <v>0.5787124002948404</v>
      </c>
      <c r="D37" s="239">
        <f t="shared" si="34"/>
        <v>0.3822035593098613</v>
      </c>
      <c r="E37" s="239">
        <f t="shared" si="34"/>
        <v>0.28512494638792163</v>
      </c>
      <c r="F37" s="239">
        <f t="shared" si="34"/>
        <v>0.20350282741731918</v>
      </c>
      <c r="G37" s="239">
        <f t="shared" si="34"/>
        <v>0.15229118676526776</v>
      </c>
      <c r="H37" s="239">
        <f t="shared" si="34"/>
        <v>0.10980161293070545</v>
      </c>
      <c r="I37" s="239">
        <f t="shared" si="34"/>
        <v>0.07086774836223242</v>
      </c>
      <c r="J37" s="239">
        <f t="shared" si="34"/>
        <v>0.04012280038568283</v>
      </c>
      <c r="K37" s="239">
        <f t="shared" si="34"/>
        <v>0.02880409404323614</v>
      </c>
      <c r="L37" s="239">
        <f t="shared" si="34"/>
        <v>0.014507277572906818</v>
      </c>
      <c r="M37" s="232"/>
      <c r="BE37" s="19">
        <f t="shared" si="27"/>
        <v>2002</v>
      </c>
      <c r="BF37" s="14">
        <f t="shared" si="28"/>
        <v>79720.73055520604</v>
      </c>
      <c r="BG37" s="14">
        <f t="shared" si="29"/>
        <v>57952.937276603734</v>
      </c>
      <c r="BH37" s="14">
        <f t="shared" si="30"/>
        <v>68490.30141372787</v>
      </c>
      <c r="BI37" s="14">
        <f t="shared" si="31"/>
        <v>59830.194360584115</v>
      </c>
      <c r="BK37" s="14"/>
      <c r="BL37" s="14"/>
      <c r="BM37" s="14"/>
      <c r="BN37" s="21"/>
    </row>
    <row r="38" spans="1:13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39" spans="1:66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BE39" s="22" t="s">
        <v>8</v>
      </c>
      <c r="BF39" s="14">
        <f>SUM(BF28:BF37)</f>
        <v>264723.442345434</v>
      </c>
      <c r="BG39" s="14">
        <f>SUM(BG28:BG37)</f>
        <v>189760.03137598143</v>
      </c>
      <c r="BH39" s="14">
        <f>SUM(BH28:BH37)</f>
        <v>231415.8129663217</v>
      </c>
      <c r="BI39" s="14">
        <f>SUM(BI28:BI37)</f>
        <v>181744.23437657952</v>
      </c>
      <c r="BK39" s="14"/>
      <c r="BL39" s="14"/>
      <c r="BM39" s="14"/>
      <c r="BN39" s="21"/>
    </row>
    <row r="40" spans="1:13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 ht="12.75">
      <c r="A41" s="232"/>
      <c r="B41" s="232" t="s">
        <v>227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  <row r="42" spans="1:13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</row>
    <row r="43" spans="1:13" ht="12.75">
      <c r="A43" s="232"/>
      <c r="B43" s="233" t="s">
        <v>34</v>
      </c>
      <c r="C43" s="232" t="str">
        <f>C6</f>
        <v>Line C:</v>
      </c>
      <c r="D43" s="232" t="s">
        <v>186</v>
      </c>
      <c r="E43" s="232"/>
      <c r="F43" s="232"/>
      <c r="G43" s="232"/>
      <c r="H43" s="232"/>
      <c r="I43" s="232"/>
      <c r="J43" s="232"/>
      <c r="K43" s="232"/>
      <c r="L43" s="232"/>
      <c r="M43" s="232"/>
    </row>
    <row r="44" spans="1:13" ht="12.75">
      <c r="A44" s="232"/>
      <c r="B44" s="250" t="s">
        <v>39</v>
      </c>
      <c r="C44" s="250">
        <v>12</v>
      </c>
      <c r="D44" s="250">
        <f>C44+12</f>
        <v>24</v>
      </c>
      <c r="E44" s="250">
        <f>D44+12</f>
        <v>36</v>
      </c>
      <c r="F44" s="250">
        <f>E44+12</f>
        <v>48</v>
      </c>
      <c r="G44" s="250">
        <f>F44+12</f>
        <v>60</v>
      </c>
      <c r="H44" s="250">
        <f>G44+12</f>
        <v>72</v>
      </c>
      <c r="I44" s="250">
        <v>84</v>
      </c>
      <c r="J44" s="250">
        <v>96</v>
      </c>
      <c r="K44" s="250">
        <v>108</v>
      </c>
      <c r="L44" s="250">
        <v>120</v>
      </c>
      <c r="M44" s="232"/>
    </row>
    <row r="45" spans="1:13" ht="12.75">
      <c r="A45" s="232"/>
      <c r="B45" s="233">
        <f aca="true" t="shared" si="35" ref="B45:B53">B46-1</f>
        <v>1993</v>
      </c>
      <c r="C45" s="234">
        <v>4992.492828865335</v>
      </c>
      <c r="D45" s="234">
        <v>10829.616806421407</v>
      </c>
      <c r="E45" s="234">
        <v>14855.441592113471</v>
      </c>
      <c r="F45" s="234">
        <v>17229.552646508735</v>
      </c>
      <c r="G45" s="234">
        <v>19134.93540134035</v>
      </c>
      <c r="H45" s="234">
        <v>19925.424600218208</v>
      </c>
      <c r="I45" s="234">
        <v>20989.388576215682</v>
      </c>
      <c r="J45" s="234">
        <v>22100.84312032416</v>
      </c>
      <c r="K45" s="234">
        <v>23597.715365492546</v>
      </c>
      <c r="L45" s="234">
        <v>24635.841032574815</v>
      </c>
      <c r="M45" s="232"/>
    </row>
    <row r="46" spans="1:13" ht="12.75">
      <c r="A46" s="232"/>
      <c r="B46" s="233">
        <f t="shared" si="35"/>
        <v>1994</v>
      </c>
      <c r="C46" s="234">
        <v>4399.1835117909695</v>
      </c>
      <c r="D46" s="234">
        <v>10533.648338252158</v>
      </c>
      <c r="E46" s="234">
        <v>13910.906572321823</v>
      </c>
      <c r="F46" s="234">
        <v>15993.35155473504</v>
      </c>
      <c r="G46" s="234">
        <v>18008.843949825696</v>
      </c>
      <c r="H46" s="234">
        <v>19343.31850956528</v>
      </c>
      <c r="I46" s="234">
        <v>20148.86762945616</v>
      </c>
      <c r="J46" s="234">
        <v>21377.212467753314</v>
      </c>
      <c r="K46" s="234">
        <v>22865.315632878333</v>
      </c>
      <c r="L46" s="234"/>
      <c r="M46" s="232"/>
    </row>
    <row r="47" spans="1:13" ht="12.75">
      <c r="A47" s="232"/>
      <c r="B47" s="233">
        <f t="shared" si="35"/>
        <v>1995</v>
      </c>
      <c r="C47" s="234">
        <v>6532.924122447619</v>
      </c>
      <c r="D47" s="234">
        <v>12677.409112453919</v>
      </c>
      <c r="E47" s="234">
        <v>16340.576739134784</v>
      </c>
      <c r="F47" s="234">
        <v>19353.00133072147</v>
      </c>
      <c r="G47" s="234">
        <v>21489.4372192968</v>
      </c>
      <c r="H47" s="234">
        <v>22667.469153889535</v>
      </c>
      <c r="I47" s="234">
        <v>23960.51494604736</v>
      </c>
      <c r="J47" s="234">
        <v>25807.398989873473</v>
      </c>
      <c r="K47" s="234"/>
      <c r="L47" s="234"/>
      <c r="M47" s="232"/>
    </row>
    <row r="48" spans="1:13" ht="12.75">
      <c r="A48" s="232"/>
      <c r="B48" s="233">
        <f t="shared" si="35"/>
        <v>1996</v>
      </c>
      <c r="C48" s="234">
        <v>6973.803742854191</v>
      </c>
      <c r="D48" s="234">
        <v>16342.160709220318</v>
      </c>
      <c r="E48" s="234">
        <v>20009.086885478304</v>
      </c>
      <c r="F48" s="234">
        <v>21058.356830163935</v>
      </c>
      <c r="G48" s="234">
        <v>21950.29507527811</v>
      </c>
      <c r="H48" s="234">
        <v>23041.58075388499</v>
      </c>
      <c r="I48" s="234">
        <v>24089.999954694238</v>
      </c>
      <c r="J48" s="234"/>
      <c r="K48" s="234"/>
      <c r="L48" s="234"/>
      <c r="M48" s="232"/>
    </row>
    <row r="49" spans="1:13" ht="12.75">
      <c r="A49" s="232"/>
      <c r="B49" s="233">
        <f t="shared" si="35"/>
        <v>1997</v>
      </c>
      <c r="C49" s="234">
        <v>8370.019390728768</v>
      </c>
      <c r="D49" s="234">
        <v>18062.35504726914</v>
      </c>
      <c r="E49" s="234">
        <v>24483.953050111173</v>
      </c>
      <c r="F49" s="234">
        <v>28437.353054528852</v>
      </c>
      <c r="G49" s="234">
        <v>30899.554563239035</v>
      </c>
      <c r="H49" s="234">
        <v>32988.90290793561</v>
      </c>
      <c r="I49" s="234"/>
      <c r="J49" s="234"/>
      <c r="K49" s="234"/>
      <c r="L49" s="234"/>
      <c r="M49" s="232"/>
    </row>
    <row r="50" spans="1:13" ht="12.75">
      <c r="A50" s="232"/>
      <c r="B50" s="233">
        <f t="shared" si="35"/>
        <v>1998</v>
      </c>
      <c r="C50" s="234">
        <v>11036.538461538432</v>
      </c>
      <c r="D50" s="234">
        <v>23880.76226935939</v>
      </c>
      <c r="E50" s="234">
        <v>31056.384378101804</v>
      </c>
      <c r="F50" s="234">
        <v>36152.74520839112</v>
      </c>
      <c r="G50" s="234">
        <v>38507.595920740896</v>
      </c>
      <c r="H50" s="234"/>
      <c r="I50" s="234"/>
      <c r="J50" s="234"/>
      <c r="K50" s="234"/>
      <c r="L50" s="234"/>
      <c r="M50" s="232"/>
    </row>
    <row r="51" spans="1:13" ht="12.75">
      <c r="A51" s="232"/>
      <c r="B51" s="233">
        <f t="shared" si="35"/>
        <v>1999</v>
      </c>
      <c r="C51" s="234">
        <v>14045.538617683213</v>
      </c>
      <c r="D51" s="234">
        <v>31163.76500373608</v>
      </c>
      <c r="E51" s="234">
        <v>41864.06393525038</v>
      </c>
      <c r="F51" s="234">
        <v>47769.613483993344</v>
      </c>
      <c r="G51" s="234"/>
      <c r="H51" s="234"/>
      <c r="I51" s="234"/>
      <c r="J51" s="234"/>
      <c r="K51" s="234"/>
      <c r="L51" s="234"/>
      <c r="M51" s="232"/>
    </row>
    <row r="52" spans="1:13" ht="12.75">
      <c r="A52" s="232"/>
      <c r="B52" s="233">
        <f t="shared" si="35"/>
        <v>2000</v>
      </c>
      <c r="C52" s="234">
        <v>16299.066778657017</v>
      </c>
      <c r="D52" s="234">
        <v>36500.34971964729</v>
      </c>
      <c r="E52" s="234">
        <v>46119.26942685955</v>
      </c>
      <c r="F52" s="234"/>
      <c r="G52" s="234"/>
      <c r="H52" s="234"/>
      <c r="I52" s="234"/>
      <c r="J52" s="234"/>
      <c r="K52" s="234"/>
      <c r="L52" s="234"/>
      <c r="M52" s="232"/>
    </row>
    <row r="53" spans="1:13" ht="12.75">
      <c r="A53" s="232"/>
      <c r="B53" s="233">
        <f t="shared" si="35"/>
        <v>2001</v>
      </c>
      <c r="C53" s="234">
        <v>15470.137523839589</v>
      </c>
      <c r="D53" s="234">
        <v>33836.60062516329</v>
      </c>
      <c r="E53" s="234"/>
      <c r="F53" s="234"/>
      <c r="G53" s="234"/>
      <c r="H53" s="234"/>
      <c r="I53" s="234"/>
      <c r="J53" s="234"/>
      <c r="K53" s="234"/>
      <c r="L53" s="234"/>
      <c r="M53" s="232"/>
    </row>
    <row r="54" spans="1:13" ht="12.75">
      <c r="A54" s="232"/>
      <c r="B54" s="233">
        <f>curryr</f>
        <v>2002</v>
      </c>
      <c r="C54" s="234">
        <v>14961.549375192095</v>
      </c>
      <c r="D54" s="234"/>
      <c r="E54" s="234"/>
      <c r="F54" s="234"/>
      <c r="G54" s="234"/>
      <c r="H54" s="234"/>
      <c r="I54" s="234"/>
      <c r="J54" s="234"/>
      <c r="K54" s="234"/>
      <c r="L54" s="234"/>
      <c r="M54" s="232"/>
    </row>
    <row r="55" spans="1:13" ht="7.5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 ht="12.75">
      <c r="A56" s="232"/>
      <c r="B56" s="233" t="str">
        <f aca="true" t="shared" si="36" ref="B56:B66">B43</f>
        <v>Accident</v>
      </c>
      <c r="C56" s="232"/>
      <c r="D56" s="232" t="s">
        <v>187</v>
      </c>
      <c r="E56" s="232"/>
      <c r="F56" s="232"/>
      <c r="G56" s="232"/>
      <c r="H56" s="232"/>
      <c r="I56" s="232"/>
      <c r="J56" s="232"/>
      <c r="K56" s="232"/>
      <c r="L56" s="232"/>
      <c r="M56" s="232"/>
    </row>
    <row r="57" spans="1:13" ht="12.75">
      <c r="A57" s="232"/>
      <c r="B57" s="250" t="str">
        <f t="shared" si="36"/>
        <v>Year</v>
      </c>
      <c r="C57" s="250" t="str">
        <f aca="true" t="shared" si="37" ref="C57:K57">C44&amp;" - "&amp;D44</f>
        <v>12 - 24</v>
      </c>
      <c r="D57" s="250" t="str">
        <f t="shared" si="37"/>
        <v>24 - 36</v>
      </c>
      <c r="E57" s="250" t="str">
        <f t="shared" si="37"/>
        <v>36 - 48</v>
      </c>
      <c r="F57" s="250" t="str">
        <f t="shared" si="37"/>
        <v>48 - 60</v>
      </c>
      <c r="G57" s="250" t="str">
        <f t="shared" si="37"/>
        <v>60 - 72</v>
      </c>
      <c r="H57" s="250" t="str">
        <f t="shared" si="37"/>
        <v>72 - 84</v>
      </c>
      <c r="I57" s="250" t="str">
        <f t="shared" si="37"/>
        <v>84 - 96</v>
      </c>
      <c r="J57" s="250" t="str">
        <f t="shared" si="37"/>
        <v>96 - 108</v>
      </c>
      <c r="K57" s="250" t="str">
        <f t="shared" si="37"/>
        <v>108 - 120</v>
      </c>
      <c r="L57" s="250" t="str">
        <f>L44&amp;" - ULT"</f>
        <v>120 - ULT</v>
      </c>
      <c r="M57" s="232"/>
    </row>
    <row r="58" spans="1:13" ht="12.75">
      <c r="A58" s="232"/>
      <c r="B58" s="233">
        <f t="shared" si="36"/>
        <v>1993</v>
      </c>
      <c r="C58" s="235">
        <f aca="true" t="shared" si="38" ref="C58:K58">D45/C45</f>
        <v>2.169180242745126</v>
      </c>
      <c r="D58" s="235">
        <f t="shared" si="38"/>
        <v>1.371742126951801</v>
      </c>
      <c r="E58" s="235">
        <f t="shared" si="38"/>
        <v>1.1598142363977684</v>
      </c>
      <c r="F58" s="235">
        <f t="shared" si="38"/>
        <v>1.1105880572713365</v>
      </c>
      <c r="G58" s="235">
        <f t="shared" si="38"/>
        <v>1.041311307422678</v>
      </c>
      <c r="H58" s="235">
        <f t="shared" si="38"/>
        <v>1.0533973050685115</v>
      </c>
      <c r="I58" s="235">
        <f t="shared" si="38"/>
        <v>1.052953164408416</v>
      </c>
      <c r="J58" s="235">
        <f t="shared" si="38"/>
        <v>1.0677291919144862</v>
      </c>
      <c r="K58" s="235">
        <f t="shared" si="38"/>
        <v>1.043992634498861</v>
      </c>
      <c r="L58" s="235"/>
      <c r="M58" s="232"/>
    </row>
    <row r="59" spans="1:13" ht="12.75">
      <c r="A59" s="232"/>
      <c r="B59" s="233">
        <f t="shared" si="36"/>
        <v>1994</v>
      </c>
      <c r="C59" s="235">
        <f aca="true" t="shared" si="39" ref="C59:J59">D46/C46</f>
        <v>2.3944553142689338</v>
      </c>
      <c r="D59" s="235">
        <f t="shared" si="39"/>
        <v>1.3206161935181948</v>
      </c>
      <c r="E59" s="235">
        <f t="shared" si="39"/>
        <v>1.1496987253552982</v>
      </c>
      <c r="F59" s="235">
        <f t="shared" si="39"/>
        <v>1.1260206397760288</v>
      </c>
      <c r="G59" s="235">
        <f t="shared" si="39"/>
        <v>1.0741010674231812</v>
      </c>
      <c r="H59" s="235">
        <f t="shared" si="39"/>
        <v>1.0416448252916135</v>
      </c>
      <c r="I59" s="235">
        <f t="shared" si="39"/>
        <v>1.0609634675698303</v>
      </c>
      <c r="J59" s="235">
        <f t="shared" si="39"/>
        <v>1.0696116562142872</v>
      </c>
      <c r="K59" s="235"/>
      <c r="L59" s="235"/>
      <c r="M59" s="232"/>
    </row>
    <row r="60" spans="1:13" ht="12.75">
      <c r="A60" s="232"/>
      <c r="B60" s="233">
        <f t="shared" si="36"/>
        <v>1995</v>
      </c>
      <c r="C60" s="235">
        <f aca="true" t="shared" si="40" ref="C60:I60">D47/C47</f>
        <v>1.9405413065939932</v>
      </c>
      <c r="D60" s="235">
        <f t="shared" si="40"/>
        <v>1.2889523872099604</v>
      </c>
      <c r="E60" s="235">
        <f t="shared" si="40"/>
        <v>1.1843524032032537</v>
      </c>
      <c r="F60" s="235">
        <f t="shared" si="40"/>
        <v>1.1103930006548337</v>
      </c>
      <c r="G60" s="235">
        <f t="shared" si="40"/>
        <v>1.0548191152039523</v>
      </c>
      <c r="H60" s="235">
        <f t="shared" si="40"/>
        <v>1.057044118308018</v>
      </c>
      <c r="I60" s="235">
        <f t="shared" si="40"/>
        <v>1.0770803151762305</v>
      </c>
      <c r="J60" s="235"/>
      <c r="K60" s="235"/>
      <c r="L60" s="235"/>
      <c r="M60" s="232"/>
    </row>
    <row r="61" spans="1:13" ht="12.75">
      <c r="A61" s="232"/>
      <c r="B61" s="233">
        <f t="shared" si="36"/>
        <v>1996</v>
      </c>
      <c r="C61" s="235">
        <f aca="true" t="shared" si="41" ref="C61:C66">D48/C48</f>
        <v>2.34336401077612</v>
      </c>
      <c r="D61" s="235">
        <f>IF(OR(D48=0,E48=""),"",E48/D48)</f>
        <v>1.2243844153477876</v>
      </c>
      <c r="E61" s="235">
        <f>IF(OR(E48=0,F48=""),"",F48/E48)</f>
        <v>1.052439671569778</v>
      </c>
      <c r="F61" s="235">
        <f>IF(OR(F48=0,G48=""),"",G48/F48)</f>
        <v>1.0423555480756488</v>
      </c>
      <c r="G61" s="235">
        <f>IF(OR(G48=0,H48=""),"",H48/G48)</f>
        <v>1.0497162190696907</v>
      </c>
      <c r="H61" s="235">
        <f>IF(OR(H48=0,I48=""),"",I48/H48)</f>
        <v>1.0455011837949735</v>
      </c>
      <c r="I61" s="235"/>
      <c r="J61" s="235"/>
      <c r="K61" s="235"/>
      <c r="L61" s="235"/>
      <c r="M61" s="232"/>
    </row>
    <row r="62" spans="1:13" ht="12.75">
      <c r="A62" s="232"/>
      <c r="B62" s="233">
        <f t="shared" si="36"/>
        <v>1997</v>
      </c>
      <c r="C62" s="235">
        <f t="shared" si="41"/>
        <v>2.157982461459563</v>
      </c>
      <c r="D62" s="235">
        <f aca="true" t="shared" si="42" ref="D62:G66">IF(OR(D49=0,E49=""),"",E49/D49)</f>
        <v>1.3555238497990283</v>
      </c>
      <c r="E62" s="235">
        <f t="shared" si="42"/>
        <v>1.1614690240716552</v>
      </c>
      <c r="F62" s="235">
        <f t="shared" si="42"/>
        <v>1.0865833575997348</v>
      </c>
      <c r="G62" s="235">
        <f t="shared" si="42"/>
        <v>1.0676174260188935</v>
      </c>
      <c r="H62" s="235">
        <f>IF(OR(H49=0,L49=""),"",L49/H49)</f>
      </c>
      <c r="I62" s="235"/>
      <c r="J62" s="235"/>
      <c r="K62" s="235"/>
      <c r="L62" s="235"/>
      <c r="M62" s="232"/>
    </row>
    <row r="63" spans="1:13" ht="12.75">
      <c r="A63" s="232"/>
      <c r="B63" s="233">
        <f t="shared" si="36"/>
        <v>1998</v>
      </c>
      <c r="C63" s="235">
        <f t="shared" si="41"/>
        <v>2.1637909705640213</v>
      </c>
      <c r="D63" s="235">
        <f t="shared" si="42"/>
        <v>1.3004770964932395</v>
      </c>
      <c r="E63" s="235">
        <f t="shared" si="42"/>
        <v>1.1641002625496488</v>
      </c>
      <c r="F63" s="235">
        <f t="shared" si="42"/>
        <v>1.0651361521449059</v>
      </c>
      <c r="G63" s="235">
        <f t="shared" si="42"/>
      </c>
      <c r="H63" s="235">
        <f>IF(OR(H50=0,L50=""),"",L50/H50)</f>
      </c>
      <c r="I63" s="235"/>
      <c r="J63" s="235"/>
      <c r="K63" s="235"/>
      <c r="L63" s="235"/>
      <c r="M63" s="232"/>
    </row>
    <row r="64" spans="1:13" ht="12.75">
      <c r="A64" s="232"/>
      <c r="B64" s="233">
        <f t="shared" si="36"/>
        <v>1999</v>
      </c>
      <c r="C64" s="235">
        <f t="shared" si="41"/>
        <v>2.2187661044554865</v>
      </c>
      <c r="D64" s="235">
        <f t="shared" si="42"/>
        <v>1.3433570664594439</v>
      </c>
      <c r="E64" s="235">
        <f t="shared" si="42"/>
        <v>1.1410648893971895</v>
      </c>
      <c r="F64" s="235">
        <f t="shared" si="42"/>
      </c>
      <c r="G64" s="235">
        <f t="shared" si="42"/>
      </c>
      <c r="H64" s="235">
        <f>IF(OR(H51=0,L51=""),"",L51/H51)</f>
      </c>
      <c r="I64" s="235"/>
      <c r="J64" s="235"/>
      <c r="K64" s="235"/>
      <c r="L64" s="235"/>
      <c r="M64" s="232"/>
    </row>
    <row r="65" spans="1:13" ht="12.75">
      <c r="A65" s="232"/>
      <c r="B65" s="233">
        <f t="shared" si="36"/>
        <v>2000</v>
      </c>
      <c r="C65" s="235">
        <f t="shared" si="41"/>
        <v>2.239413471662258</v>
      </c>
      <c r="D65" s="235">
        <f t="shared" si="42"/>
        <v>1.263529521801667</v>
      </c>
      <c r="E65" s="235">
        <f t="shared" si="42"/>
      </c>
      <c r="F65" s="235">
        <f t="shared" si="42"/>
      </c>
      <c r="G65" s="235">
        <f t="shared" si="42"/>
      </c>
      <c r="H65" s="235">
        <f>IF(OR(H52=0,L52=""),"",L52/H52)</f>
      </c>
      <c r="I65" s="235"/>
      <c r="J65" s="235"/>
      <c r="K65" s="235"/>
      <c r="L65" s="235"/>
      <c r="M65" s="232"/>
    </row>
    <row r="66" spans="1:13" ht="12.75">
      <c r="A66" s="232"/>
      <c r="B66" s="233">
        <f t="shared" si="36"/>
        <v>2001</v>
      </c>
      <c r="C66" s="235">
        <f t="shared" si="41"/>
        <v>2.1872204156569945</v>
      </c>
      <c r="D66" s="235">
        <f t="shared" si="42"/>
      </c>
      <c r="E66" s="235">
        <f t="shared" si="42"/>
      </c>
      <c r="F66" s="235">
        <f t="shared" si="42"/>
      </c>
      <c r="G66" s="235">
        <f t="shared" si="42"/>
      </c>
      <c r="H66" s="235">
        <f>IF(OR(H53=0,L53=""),"",L53/H53)</f>
      </c>
      <c r="I66" s="235"/>
      <c r="J66" s="235"/>
      <c r="K66" s="235"/>
      <c r="L66" s="235"/>
      <c r="M66" s="232"/>
    </row>
    <row r="67" spans="1:13" ht="6.75" customHeight="1">
      <c r="A67" s="232"/>
      <c r="B67" s="233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</row>
    <row r="68" spans="1:13" ht="12.75">
      <c r="A68" s="232"/>
      <c r="B68" s="236" t="s">
        <v>181</v>
      </c>
      <c r="C68" s="237">
        <f aca="true" t="shared" si="43" ref="C68:K68">AVERAGE(C58:C66)</f>
        <v>2.2016349220202773</v>
      </c>
      <c r="D68" s="237">
        <f t="shared" si="43"/>
        <v>1.3085728321976402</v>
      </c>
      <c r="E68" s="237">
        <f t="shared" si="43"/>
        <v>1.1447056017920845</v>
      </c>
      <c r="F68" s="237">
        <f t="shared" si="43"/>
        <v>1.090179459253748</v>
      </c>
      <c r="G68" s="237">
        <f t="shared" si="43"/>
        <v>1.0575130270276791</v>
      </c>
      <c r="H68" s="237">
        <f t="shared" si="43"/>
        <v>1.049396858115779</v>
      </c>
      <c r="I68" s="237">
        <f t="shared" si="43"/>
        <v>1.0636656490514922</v>
      </c>
      <c r="J68" s="237">
        <f t="shared" si="43"/>
        <v>1.0686704240643867</v>
      </c>
      <c r="K68" s="237">
        <f t="shared" si="43"/>
        <v>1.043992634498861</v>
      </c>
      <c r="L68" s="232"/>
      <c r="M68" s="232"/>
    </row>
    <row r="69" spans="1:13" ht="12.75">
      <c r="A69" s="232"/>
      <c r="B69" s="232" t="s">
        <v>182</v>
      </c>
      <c r="C69" s="237">
        <f>AVERAGE(C64:C66)</f>
        <v>2.21513333059158</v>
      </c>
      <c r="D69" s="237">
        <f>AVERAGE(D63:D65)</f>
        <v>1.3024545615847833</v>
      </c>
      <c r="E69" s="237">
        <f>AVERAGE(E62:E64)</f>
        <v>1.155544725339498</v>
      </c>
      <c r="F69" s="237">
        <f>AVERAGE(F61:F63)</f>
        <v>1.0646916859400963</v>
      </c>
      <c r="G69" s="237">
        <f>AVERAGE(G60:G62)</f>
        <v>1.0573842534308453</v>
      </c>
      <c r="H69" s="237">
        <f>AVERAGE(H59:H61)</f>
        <v>1.0480633757982016</v>
      </c>
      <c r="I69" s="237">
        <f>AVERAGE(I58:I60)</f>
        <v>1.0636656490514922</v>
      </c>
      <c r="J69" s="232"/>
      <c r="K69" s="232"/>
      <c r="L69" s="232"/>
      <c r="M69" s="232"/>
    </row>
    <row r="70" spans="1:60" ht="12.75">
      <c r="A70" s="232"/>
      <c r="B70" s="232" t="s">
        <v>183</v>
      </c>
      <c r="C70" s="237">
        <f>(SUM(C58:C66)-MIN(C58:C66)-MAX(C58:C66))/(COUNT(C58:C66)-2)</f>
        <v>2.211388239617081</v>
      </c>
      <c r="D70" s="237">
        <f>(SUM(D58:D65)-MIN(D58:D65)-MAX(D58:D65))/(COUNT(D58:D65)-2)</f>
        <v>1.312076019213589</v>
      </c>
      <c r="E70" s="237">
        <f>(SUM(E58:E64)-MIN(E58:E64)-MAX(E58:E64))/(COUNT(E58:E64)-2)</f>
        <v>1.1552294275543118</v>
      </c>
      <c r="F70" s="237">
        <f>(SUM(F58:F63)-MIN(F58:F63)-MAX(F58:F63))/(COUNT(F58:F63)-2)</f>
        <v>1.0931751419177025</v>
      </c>
      <c r="G70" s="237">
        <f>(SUM(G58:G62)-MIN(G58:G62)-MAX(G58:G62))/(COUNT(G58:G62)-2)</f>
        <v>1.0573842534308453</v>
      </c>
      <c r="H70" s="237">
        <f>(SUM(H58:H61)-MIN(H58:H61)-MAX(H58:H61))/(COUNT(H58:H61)-2)</f>
        <v>1.0494492444317425</v>
      </c>
      <c r="I70" s="232"/>
      <c r="J70" s="232"/>
      <c r="K70" s="232"/>
      <c r="L70" s="232"/>
      <c r="M70" s="232"/>
      <c r="BH70" s="25" t="s">
        <v>231</v>
      </c>
    </row>
    <row r="71" spans="1:13" ht="6.75" customHeight="1">
      <c r="A71" s="232"/>
      <c r="B71" s="232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2"/>
    </row>
    <row r="72" spans="1:13" ht="12.75">
      <c r="A72" s="232"/>
      <c r="B72" s="253" t="s">
        <v>83</v>
      </c>
      <c r="C72" s="254">
        <f aca="true" t="shared" si="44" ref="C72:I72">C69</f>
        <v>2.21513333059158</v>
      </c>
      <c r="D72" s="254">
        <f t="shared" si="44"/>
        <v>1.3024545615847833</v>
      </c>
      <c r="E72" s="254">
        <f t="shared" si="44"/>
        <v>1.155544725339498</v>
      </c>
      <c r="F72" s="254">
        <f t="shared" si="44"/>
        <v>1.0646916859400963</v>
      </c>
      <c r="G72" s="254">
        <f t="shared" si="44"/>
        <v>1.0573842534308453</v>
      </c>
      <c r="H72" s="254">
        <f t="shared" si="44"/>
        <v>1.0480633757982016</v>
      </c>
      <c r="I72" s="254">
        <f t="shared" si="44"/>
        <v>1.0636656490514922</v>
      </c>
      <c r="J72" s="254">
        <f>J68</f>
        <v>1.0686704240643867</v>
      </c>
      <c r="K72" s="254">
        <f>K68</f>
        <v>1.043992634498861</v>
      </c>
      <c r="L72" s="254">
        <f>K72</f>
        <v>1.043992634498861</v>
      </c>
      <c r="M72" s="232"/>
    </row>
    <row r="73" spans="1:13" ht="12.75">
      <c r="A73" s="232"/>
      <c r="B73" s="232" t="s">
        <v>184</v>
      </c>
      <c r="C73" s="238">
        <f>PRODUCT(C72:$L72)</f>
        <v>4.873458277836928</v>
      </c>
      <c r="D73" s="238">
        <f>PRODUCT(D72:$L72)</f>
        <v>2.2000744652853053</v>
      </c>
      <c r="E73" s="238">
        <f>PRODUCT(E72:$L72)</f>
        <v>1.689175599806206</v>
      </c>
      <c r="F73" s="238">
        <f>PRODUCT(F72:$L72)</f>
        <v>1.4618002771895546</v>
      </c>
      <c r="G73" s="238">
        <f>PRODUCT(G72:$L72)</f>
        <v>1.372979893140446</v>
      </c>
      <c r="H73" s="238">
        <f>PRODUCT(H72:$L72)</f>
        <v>1.2984682613587275</v>
      </c>
      <c r="I73" s="238">
        <f>PRODUCT(I72:$L72)</f>
        <v>1.238921511182297</v>
      </c>
      <c r="J73" s="238">
        <f>PRODUCT(J72:$L72)</f>
        <v>1.1647659321207624</v>
      </c>
      <c r="K73" s="238">
        <f>PRODUCT(K72:$L72)</f>
        <v>1.0899206208878724</v>
      </c>
      <c r="L73" s="238">
        <f>L72</f>
        <v>1.043992634498861</v>
      </c>
      <c r="M73" s="232"/>
    </row>
    <row r="74" spans="1:13" ht="12.75">
      <c r="A74" s="232"/>
      <c r="B74" s="232" t="s">
        <v>188</v>
      </c>
      <c r="C74" s="239">
        <f aca="true" t="shared" si="45" ref="C74:L74">1-1/C73</f>
        <v>0.7948069024110231</v>
      </c>
      <c r="D74" s="239">
        <f t="shared" si="45"/>
        <v>0.5454699303233266</v>
      </c>
      <c r="E74" s="239">
        <f t="shared" si="45"/>
        <v>0.40799523737216725</v>
      </c>
      <c r="F74" s="239">
        <f t="shared" si="45"/>
        <v>0.31591201916954625</v>
      </c>
      <c r="G74" s="239">
        <f t="shared" si="45"/>
        <v>0.27165721435826795</v>
      </c>
      <c r="H74" s="239">
        <f t="shared" si="45"/>
        <v>0.22986180736247486</v>
      </c>
      <c r="I74" s="239">
        <f t="shared" si="45"/>
        <v>0.19284636599318983</v>
      </c>
      <c r="J74" s="239">
        <f t="shared" si="45"/>
        <v>0.1414584059998757</v>
      </c>
      <c r="K74" s="239">
        <f t="shared" si="45"/>
        <v>0.08250199066297248</v>
      </c>
      <c r="L74" s="239">
        <f t="shared" si="45"/>
        <v>0.04213883608477609</v>
      </c>
      <c r="M74" s="232"/>
    </row>
    <row r="75" spans="1:13" ht="12.75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229" ht="12.75">
      <c r="N229" s="24"/>
    </row>
  </sheetData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4.99609375" style="2" customWidth="1"/>
    <col min="2" max="2" width="12.99609375" style="2" customWidth="1"/>
    <col min="3" max="5" width="8.99609375" style="2" customWidth="1"/>
    <col min="6" max="6" width="9.10546875" style="2" customWidth="1"/>
    <col min="7" max="11" width="8.99609375" style="2" customWidth="1"/>
    <col min="12" max="12" width="3.77734375" style="2" customWidth="1"/>
    <col min="13" max="13" width="6.10546875" style="2" customWidth="1"/>
    <col min="14" max="16384" width="7.10546875" style="2" customWidth="1"/>
  </cols>
  <sheetData>
    <row r="1" spans="1:13" ht="18">
      <c r="A1" s="39" t="s">
        <v>203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52"/>
      <c r="M2" s="28"/>
    </row>
    <row r="3" spans="1:13" ht="12.75" customHeight="1">
      <c r="A3" s="46"/>
      <c r="B3" s="47" t="s">
        <v>204</v>
      </c>
      <c r="C3" s="41"/>
      <c r="D3" s="41"/>
      <c r="E3" s="41"/>
      <c r="F3" s="41"/>
      <c r="G3" s="41"/>
      <c r="H3" s="41"/>
      <c r="I3" s="41"/>
      <c r="J3" s="41"/>
      <c r="K3" s="41"/>
      <c r="L3" s="53"/>
      <c r="M3" s="28"/>
    </row>
    <row r="4" spans="1:13" ht="15">
      <c r="A4" s="46"/>
      <c r="B4" s="41"/>
      <c r="C4" s="41"/>
      <c r="D4" s="41"/>
      <c r="E4" s="41"/>
      <c r="F4" s="41"/>
      <c r="G4" s="41"/>
      <c r="H4" s="41"/>
      <c r="I4" s="41"/>
      <c r="J4" s="41"/>
      <c r="K4" s="41"/>
      <c r="L4" s="53"/>
      <c r="M4" s="28"/>
    </row>
    <row r="5" spans="1:13" ht="12.75" customHeight="1">
      <c r="A5" s="46"/>
      <c r="B5" s="41"/>
      <c r="C5" s="56"/>
      <c r="D5" s="57"/>
      <c r="E5" s="62"/>
      <c r="F5" s="45"/>
      <c r="G5" s="52"/>
      <c r="H5" s="41"/>
      <c r="I5" s="41"/>
      <c r="J5" s="41"/>
      <c r="K5" s="48"/>
      <c r="L5" s="54"/>
      <c r="M5" s="28"/>
    </row>
    <row r="6" spans="1:13" ht="15.75">
      <c r="A6" s="46"/>
      <c r="B6" s="49" t="s">
        <v>86</v>
      </c>
      <c r="C6" s="58">
        <v>6000</v>
      </c>
      <c r="D6" s="59"/>
      <c r="E6" s="63"/>
      <c r="F6" s="42">
        <v>10000</v>
      </c>
      <c r="G6" s="64"/>
      <c r="H6" s="41"/>
      <c r="I6" s="41"/>
      <c r="J6" s="41"/>
      <c r="K6" s="48"/>
      <c r="L6" s="54"/>
      <c r="M6" s="28"/>
    </row>
    <row r="7" spans="1:13" ht="15.75">
      <c r="A7" s="46"/>
      <c r="B7" s="41"/>
      <c r="C7" s="60" t="s">
        <v>205</v>
      </c>
      <c r="D7" s="61"/>
      <c r="E7" s="65"/>
      <c r="F7" s="66" t="s">
        <v>87</v>
      </c>
      <c r="G7" s="55"/>
      <c r="H7" s="41"/>
      <c r="I7" s="41"/>
      <c r="J7" s="41"/>
      <c r="K7" s="48"/>
      <c r="L7" s="54"/>
      <c r="M7" s="28"/>
    </row>
    <row r="8" spans="1:13" ht="1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5"/>
      <c r="M8" s="28"/>
    </row>
    <row r="9" spans="1:13" ht="15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52"/>
      <c r="M9" s="28"/>
    </row>
    <row r="10" spans="1:13" ht="15.75">
      <c r="A10" s="46"/>
      <c r="B10" s="47" t="s">
        <v>206</v>
      </c>
      <c r="C10" s="41"/>
      <c r="D10" s="41"/>
      <c r="E10" s="41"/>
      <c r="F10" s="41"/>
      <c r="G10" s="41"/>
      <c r="H10" s="41"/>
      <c r="I10" s="41"/>
      <c r="J10" s="41"/>
      <c r="K10" s="41"/>
      <c r="L10" s="53"/>
      <c r="M10" s="28"/>
    </row>
    <row r="11" spans="1:13" ht="15">
      <c r="A11" s="46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3"/>
      <c r="M11" s="28"/>
    </row>
    <row r="12" spans="1:13" ht="6.75" customHeight="1">
      <c r="A12" s="46"/>
      <c r="B12" s="40"/>
      <c r="C12" s="56"/>
      <c r="D12" s="67"/>
      <c r="E12" s="67"/>
      <c r="F12" s="68"/>
      <c r="G12" s="74"/>
      <c r="H12" s="41"/>
      <c r="I12" s="41"/>
      <c r="J12" s="41"/>
      <c r="K12" s="41"/>
      <c r="L12" s="53"/>
      <c r="M12" s="28"/>
    </row>
    <row r="13" spans="1:13" ht="15.75">
      <c r="A13" s="46"/>
      <c r="B13" s="83" t="s">
        <v>69</v>
      </c>
      <c r="C13" s="58"/>
      <c r="D13" s="69">
        <v>12000</v>
      </c>
      <c r="E13" s="69"/>
      <c r="F13" s="70"/>
      <c r="G13" s="75">
        <v>4000</v>
      </c>
      <c r="H13" s="41"/>
      <c r="I13" s="41"/>
      <c r="J13" s="41"/>
      <c r="K13" s="41"/>
      <c r="L13" s="53"/>
      <c r="M13" s="28"/>
    </row>
    <row r="14" spans="1:13" ht="15.75">
      <c r="A14" s="46"/>
      <c r="B14" s="40"/>
      <c r="C14" s="71"/>
      <c r="D14" s="72" t="s">
        <v>205</v>
      </c>
      <c r="E14" s="72"/>
      <c r="F14" s="73"/>
      <c r="G14" s="76" t="s">
        <v>87</v>
      </c>
      <c r="H14" s="41"/>
      <c r="I14" s="41"/>
      <c r="J14" s="41"/>
      <c r="K14" s="41"/>
      <c r="L14" s="53"/>
      <c r="M14" s="28"/>
    </row>
    <row r="15" spans="1:13" ht="15.75">
      <c r="A15" s="46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53"/>
      <c r="M15" s="28"/>
    </row>
    <row r="16" spans="1:13" ht="6.75" customHeight="1">
      <c r="A16" s="46"/>
      <c r="B16" s="40"/>
      <c r="C16" s="56"/>
      <c r="D16" s="67"/>
      <c r="E16" s="67"/>
      <c r="F16" s="68"/>
      <c r="G16" s="44"/>
      <c r="H16" s="45"/>
      <c r="I16" s="52"/>
      <c r="J16" s="41"/>
      <c r="K16" s="41"/>
      <c r="L16" s="53"/>
      <c r="M16" s="28"/>
    </row>
    <row r="17" spans="1:13" ht="15.75">
      <c r="A17" s="46"/>
      <c r="B17" s="83" t="s">
        <v>212</v>
      </c>
      <c r="C17" s="58"/>
      <c r="D17" s="69">
        <v>12000</v>
      </c>
      <c r="E17" s="69"/>
      <c r="F17" s="70"/>
      <c r="G17" s="77"/>
      <c r="H17" s="42">
        <v>10000</v>
      </c>
      <c r="I17" s="53"/>
      <c r="J17" s="41"/>
      <c r="K17" s="41"/>
      <c r="L17" s="53"/>
      <c r="M17" s="28"/>
    </row>
    <row r="18" spans="1:13" ht="15.75">
      <c r="A18" s="46"/>
      <c r="B18" s="83" t="s">
        <v>207</v>
      </c>
      <c r="C18" s="71"/>
      <c r="D18" s="72" t="s">
        <v>205</v>
      </c>
      <c r="E18" s="72"/>
      <c r="F18" s="73"/>
      <c r="G18" s="50"/>
      <c r="H18" s="66" t="s">
        <v>87</v>
      </c>
      <c r="I18" s="55"/>
      <c r="J18" s="41"/>
      <c r="K18" s="41"/>
      <c r="L18" s="53"/>
      <c r="M18" s="28"/>
    </row>
    <row r="19" spans="1:13" ht="15.75">
      <c r="A19" s="46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53"/>
      <c r="M19" s="28"/>
    </row>
    <row r="20" spans="1:13" ht="6.75" customHeight="1">
      <c r="A20" s="46"/>
      <c r="B20" s="40"/>
      <c r="C20" s="56"/>
      <c r="D20" s="67"/>
      <c r="E20" s="67"/>
      <c r="F20" s="68"/>
      <c r="G20" s="44"/>
      <c r="H20" s="45"/>
      <c r="I20" s="45"/>
      <c r="J20" s="45"/>
      <c r="K20" s="52"/>
      <c r="L20" s="53"/>
      <c r="M20" s="28"/>
    </row>
    <row r="21" spans="1:13" ht="15.75">
      <c r="A21" s="46"/>
      <c r="B21" s="83" t="s">
        <v>23</v>
      </c>
      <c r="C21" s="58"/>
      <c r="D21" s="69">
        <v>12000</v>
      </c>
      <c r="E21" s="69"/>
      <c r="F21" s="70"/>
      <c r="G21" s="77"/>
      <c r="H21" s="41"/>
      <c r="I21" s="41"/>
      <c r="J21" s="42">
        <v>20000</v>
      </c>
      <c r="K21" s="53"/>
      <c r="L21" s="53"/>
      <c r="M21" s="28"/>
    </row>
    <row r="22" spans="1:13" ht="15.75">
      <c r="A22" s="46"/>
      <c r="B22" s="83" t="s">
        <v>208</v>
      </c>
      <c r="C22" s="71"/>
      <c r="D22" s="72" t="s">
        <v>205</v>
      </c>
      <c r="E22" s="72"/>
      <c r="F22" s="73"/>
      <c r="G22" s="50"/>
      <c r="H22" s="51"/>
      <c r="I22" s="51"/>
      <c r="J22" s="66" t="s">
        <v>87</v>
      </c>
      <c r="K22" s="55"/>
      <c r="L22" s="53"/>
      <c r="M22" s="28"/>
    </row>
    <row r="23" spans="1:13" ht="7.5" customHeight="1">
      <c r="A23" s="50"/>
      <c r="B23" s="84"/>
      <c r="C23" s="51"/>
      <c r="D23" s="51"/>
      <c r="E23" s="51"/>
      <c r="F23" s="51"/>
      <c r="G23" s="51"/>
      <c r="H23" s="51"/>
      <c r="I23" s="51"/>
      <c r="J23" s="51"/>
      <c r="K23" s="51"/>
      <c r="L23" s="55"/>
      <c r="M23" s="28"/>
    </row>
    <row r="24" spans="1:13" ht="6.75" customHeight="1">
      <c r="A24" s="44"/>
      <c r="B24" s="85"/>
      <c r="C24" s="45"/>
      <c r="D24" s="45"/>
      <c r="E24" s="45"/>
      <c r="F24" s="45"/>
      <c r="G24" s="45"/>
      <c r="H24" s="45"/>
      <c r="I24" s="45"/>
      <c r="J24" s="45"/>
      <c r="K24" s="45"/>
      <c r="L24" s="52"/>
      <c r="M24" s="28"/>
    </row>
    <row r="25" spans="1:13" ht="15.75">
      <c r="A25" s="46"/>
      <c r="B25" s="47" t="s">
        <v>209</v>
      </c>
      <c r="C25" s="41"/>
      <c r="D25" s="41"/>
      <c r="E25" s="41"/>
      <c r="F25" s="41"/>
      <c r="G25" s="41"/>
      <c r="H25" s="41"/>
      <c r="I25" s="41"/>
      <c r="J25" s="41"/>
      <c r="K25" s="41"/>
      <c r="L25" s="53"/>
      <c r="M25" s="28"/>
    </row>
    <row r="26" spans="1:13" ht="7.5" customHeight="1">
      <c r="A26" s="46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53"/>
      <c r="M26" s="28"/>
    </row>
    <row r="27" spans="1:13" ht="9.75" customHeight="1">
      <c r="A27" s="46"/>
      <c r="B27" s="40"/>
      <c r="C27" s="78"/>
      <c r="D27" s="44"/>
      <c r="E27" s="45"/>
      <c r="F27" s="45"/>
      <c r="G27" s="52"/>
      <c r="H27" s="41"/>
      <c r="I27" s="41"/>
      <c r="J27" s="41"/>
      <c r="K27" s="41"/>
      <c r="L27" s="53"/>
      <c r="M27" s="28"/>
    </row>
    <row r="28" spans="1:13" ht="15.75">
      <c r="A28" s="46"/>
      <c r="B28" s="83" t="s">
        <v>69</v>
      </c>
      <c r="C28" s="79">
        <v>3000</v>
      </c>
      <c r="D28" s="46"/>
      <c r="E28" s="41"/>
      <c r="F28" s="42">
        <v>13000</v>
      </c>
      <c r="G28" s="53"/>
      <c r="H28" s="41"/>
      <c r="I28" s="41"/>
      <c r="J28" s="41"/>
      <c r="K28" s="41"/>
      <c r="L28" s="53"/>
      <c r="M28" s="28"/>
    </row>
    <row r="29" spans="1:13" ht="15.75">
      <c r="A29" s="46"/>
      <c r="B29" s="40"/>
      <c r="C29" s="80" t="s">
        <v>205</v>
      </c>
      <c r="D29" s="50"/>
      <c r="E29" s="51"/>
      <c r="F29" s="66" t="s">
        <v>87</v>
      </c>
      <c r="G29" s="55"/>
      <c r="H29" s="41"/>
      <c r="I29" s="41"/>
      <c r="J29" s="41"/>
      <c r="K29" s="41"/>
      <c r="L29" s="53"/>
      <c r="M29" s="28"/>
    </row>
    <row r="30" spans="1:13" ht="15.75">
      <c r="A30" s="46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53"/>
      <c r="M30" s="28"/>
    </row>
    <row r="31" spans="1:13" ht="9.75" customHeight="1">
      <c r="A31" s="46"/>
      <c r="B31" s="40"/>
      <c r="C31" s="78"/>
      <c r="D31" s="44"/>
      <c r="E31" s="45"/>
      <c r="F31" s="52"/>
      <c r="G31" s="41"/>
      <c r="H31" s="41"/>
      <c r="I31" s="41"/>
      <c r="J31" s="41"/>
      <c r="K31" s="41"/>
      <c r="L31" s="53"/>
      <c r="M31" s="28"/>
    </row>
    <row r="32" spans="1:13" ht="15.75">
      <c r="A32" s="46"/>
      <c r="B32" s="83" t="s">
        <v>212</v>
      </c>
      <c r="C32" s="79">
        <v>3000</v>
      </c>
      <c r="D32" s="46"/>
      <c r="E32" s="41"/>
      <c r="F32" s="81">
        <v>10000</v>
      </c>
      <c r="G32" s="41"/>
      <c r="H32" s="41"/>
      <c r="I32" s="41"/>
      <c r="J32" s="41"/>
      <c r="K32" s="41"/>
      <c r="L32" s="53"/>
      <c r="M32" s="28"/>
    </row>
    <row r="33" spans="1:13" ht="15.75">
      <c r="A33" s="46"/>
      <c r="B33" s="83" t="s">
        <v>207</v>
      </c>
      <c r="C33" s="80" t="s">
        <v>205</v>
      </c>
      <c r="D33" s="50"/>
      <c r="E33" s="51"/>
      <c r="F33" s="82" t="s">
        <v>87</v>
      </c>
      <c r="G33" s="41"/>
      <c r="H33" s="41"/>
      <c r="I33" s="41"/>
      <c r="J33" s="41"/>
      <c r="K33" s="41"/>
      <c r="L33" s="53"/>
      <c r="M33" s="28"/>
    </row>
    <row r="34" spans="1:13" ht="15.75">
      <c r="A34" s="46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53"/>
      <c r="M34" s="28"/>
    </row>
    <row r="35" spans="1:13" ht="9" customHeight="1">
      <c r="A35" s="46"/>
      <c r="B35" s="40"/>
      <c r="C35" s="78"/>
      <c r="D35" s="74"/>
      <c r="E35" s="41"/>
      <c r="F35" s="41"/>
      <c r="G35" s="41"/>
      <c r="H35" s="41"/>
      <c r="I35" s="41"/>
      <c r="J35" s="41"/>
      <c r="K35" s="41"/>
      <c r="L35" s="53"/>
      <c r="M35" s="28"/>
    </row>
    <row r="36" spans="1:13" ht="15.75">
      <c r="A36" s="46"/>
      <c r="B36" s="83" t="s">
        <v>210</v>
      </c>
      <c r="C36" s="79">
        <v>3000</v>
      </c>
      <c r="D36" s="75">
        <v>5000</v>
      </c>
      <c r="E36" s="42"/>
      <c r="F36" s="86"/>
      <c r="G36" s="41"/>
      <c r="H36" s="41"/>
      <c r="I36" s="41"/>
      <c r="J36" s="41"/>
      <c r="K36" s="41"/>
      <c r="L36" s="53"/>
      <c r="M36" s="28"/>
    </row>
    <row r="37" spans="1:13" ht="15.75">
      <c r="A37" s="46"/>
      <c r="B37" s="83" t="s">
        <v>208</v>
      </c>
      <c r="C37" s="80" t="s">
        <v>205</v>
      </c>
      <c r="D37" s="76" t="s">
        <v>87</v>
      </c>
      <c r="E37" s="43"/>
      <c r="F37" s="41"/>
      <c r="G37" s="41"/>
      <c r="H37" s="41"/>
      <c r="I37" s="41"/>
      <c r="J37" s="41"/>
      <c r="K37" s="41"/>
      <c r="L37" s="53"/>
      <c r="M37" s="28"/>
    </row>
    <row r="38" spans="1:13" ht="9.75" customHeigh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5"/>
      <c r="M38" s="28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</sheetData>
  <printOptions/>
  <pageMargins left="1" right="1" top="1.2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16.99609375" style="2" customWidth="1"/>
    <col min="2" max="8" width="8.88671875" style="2" customWidth="1"/>
    <col min="9" max="16384" width="7.10546875" style="2" customWidth="1"/>
  </cols>
  <sheetData>
    <row r="1" spans="1:9" ht="15">
      <c r="A1" s="26" t="s">
        <v>190</v>
      </c>
      <c r="B1" s="27"/>
      <c r="C1" s="27"/>
      <c r="D1" s="27"/>
      <c r="E1" s="27"/>
      <c r="F1" s="27"/>
      <c r="G1" s="27"/>
      <c r="H1" s="27"/>
      <c r="I1" s="28"/>
    </row>
    <row r="2" spans="1:9" ht="15">
      <c r="A2" s="26" t="s">
        <v>201</v>
      </c>
      <c r="B2" s="27"/>
      <c r="C2" s="27"/>
      <c r="D2" s="27"/>
      <c r="E2" s="27"/>
      <c r="F2" s="27"/>
      <c r="G2" s="27"/>
      <c r="H2" s="27"/>
      <c r="I2" s="28"/>
    </row>
    <row r="3" spans="1:9" ht="15">
      <c r="A3" s="29" t="s">
        <v>34</v>
      </c>
      <c r="B3" s="30" t="s">
        <v>94</v>
      </c>
      <c r="C3" s="30" t="s">
        <v>94</v>
      </c>
      <c r="D3" s="31" t="s">
        <v>145</v>
      </c>
      <c r="E3" s="32"/>
      <c r="F3" s="32"/>
      <c r="G3" s="30"/>
      <c r="H3" s="30" t="s">
        <v>94</v>
      </c>
      <c r="I3" s="28"/>
    </row>
    <row r="4" spans="1:9" ht="15">
      <c r="A4" s="29" t="s">
        <v>39</v>
      </c>
      <c r="B4" s="33" t="s">
        <v>95</v>
      </c>
      <c r="C4" s="33" t="s">
        <v>96</v>
      </c>
      <c r="D4" s="33" t="s">
        <v>97</v>
      </c>
      <c r="E4" s="33" t="s">
        <v>98</v>
      </c>
      <c r="F4" s="33" t="s">
        <v>99</v>
      </c>
      <c r="G4" s="33" t="s">
        <v>100</v>
      </c>
      <c r="H4" s="33" t="s">
        <v>101</v>
      </c>
      <c r="I4" s="28"/>
    </row>
    <row r="5" spans="1:9" ht="15">
      <c r="A5" s="29">
        <f aca="true" t="shared" si="0" ref="A5:A10">+A6-1</f>
        <v>1996</v>
      </c>
      <c r="B5" s="34">
        <v>71</v>
      </c>
      <c r="C5" s="34">
        <v>166</v>
      </c>
      <c r="D5" s="34">
        <v>286</v>
      </c>
      <c r="E5" s="34">
        <v>416</v>
      </c>
      <c r="F5" s="34">
        <v>527</v>
      </c>
      <c r="G5" s="34">
        <v>611</v>
      </c>
      <c r="H5" s="34">
        <v>677</v>
      </c>
      <c r="I5" s="28"/>
    </row>
    <row r="6" spans="1:9" ht="15">
      <c r="A6" s="29">
        <f t="shared" si="0"/>
        <v>1997</v>
      </c>
      <c r="B6" s="34">
        <v>83</v>
      </c>
      <c r="C6" s="34">
        <v>189</v>
      </c>
      <c r="D6" s="34">
        <v>313</v>
      </c>
      <c r="E6" s="34">
        <v>458</v>
      </c>
      <c r="F6" s="34">
        <v>584</v>
      </c>
      <c r="G6" s="34">
        <v>672</v>
      </c>
      <c r="H6" s="35"/>
      <c r="I6" s="28"/>
    </row>
    <row r="7" spans="1:9" ht="15">
      <c r="A7" s="29">
        <f t="shared" si="0"/>
        <v>1998</v>
      </c>
      <c r="B7" s="34">
        <v>93</v>
      </c>
      <c r="C7" s="34">
        <v>213</v>
      </c>
      <c r="D7" s="34">
        <v>361</v>
      </c>
      <c r="E7" s="34">
        <v>523</v>
      </c>
      <c r="F7" s="34">
        <v>657</v>
      </c>
      <c r="G7" s="35"/>
      <c r="H7" s="35"/>
      <c r="I7" s="28"/>
    </row>
    <row r="8" spans="1:9" ht="15">
      <c r="A8" s="29">
        <f t="shared" si="0"/>
        <v>1999</v>
      </c>
      <c r="B8" s="34">
        <v>103</v>
      </c>
      <c r="C8" s="34">
        <v>226</v>
      </c>
      <c r="D8" s="34">
        <v>394</v>
      </c>
      <c r="E8" s="34">
        <v>581</v>
      </c>
      <c r="F8" s="35"/>
      <c r="G8" s="35"/>
      <c r="H8" s="35"/>
      <c r="I8" s="28"/>
    </row>
    <row r="9" spans="1:9" ht="15">
      <c r="A9" s="29">
        <f t="shared" si="0"/>
        <v>2000</v>
      </c>
      <c r="B9" s="34">
        <v>108</v>
      </c>
      <c r="C9" s="34">
        <v>245</v>
      </c>
      <c r="D9" s="34">
        <v>437</v>
      </c>
      <c r="E9" s="35"/>
      <c r="F9" s="35"/>
      <c r="G9" s="35"/>
      <c r="H9" s="35"/>
      <c r="I9" s="28"/>
    </row>
    <row r="10" spans="1:9" ht="15">
      <c r="A10" s="29">
        <f t="shared" si="0"/>
        <v>2001</v>
      </c>
      <c r="B10" s="34">
        <v>128</v>
      </c>
      <c r="C10" s="34">
        <v>280</v>
      </c>
      <c r="D10" s="35"/>
      <c r="E10" s="35"/>
      <c r="F10" s="35"/>
      <c r="G10" s="35"/>
      <c r="H10" s="35"/>
      <c r="I10" s="28"/>
    </row>
    <row r="11" spans="1:9" ht="15">
      <c r="A11" s="29">
        <f>curryr</f>
        <v>2002</v>
      </c>
      <c r="B11" s="34">
        <v>132</v>
      </c>
      <c r="C11" s="35"/>
      <c r="D11" s="35"/>
      <c r="E11" s="35"/>
      <c r="F11" s="35"/>
      <c r="G11" s="35"/>
      <c r="H11" s="35"/>
      <c r="I11" s="28"/>
    </row>
    <row r="12" spans="1:9" ht="6.75" customHeight="1">
      <c r="A12" s="31"/>
      <c r="B12" s="36"/>
      <c r="C12" s="36"/>
      <c r="D12" s="36"/>
      <c r="E12" s="36"/>
      <c r="F12" s="36"/>
      <c r="G12" s="31"/>
      <c r="H12" s="31"/>
      <c r="I12" s="28"/>
    </row>
    <row r="13" spans="1:9" ht="15">
      <c r="A13" s="29" t="s">
        <v>34</v>
      </c>
      <c r="B13" s="30" t="s">
        <v>94</v>
      </c>
      <c r="C13" s="30" t="s">
        <v>94</v>
      </c>
      <c r="D13" s="31" t="s">
        <v>146</v>
      </c>
      <c r="E13" s="32"/>
      <c r="F13" s="32"/>
      <c r="G13" s="32"/>
      <c r="H13" s="30" t="s">
        <v>94</v>
      </c>
      <c r="I13" s="28"/>
    </row>
    <row r="14" spans="1:9" ht="15">
      <c r="A14" s="29" t="s">
        <v>39</v>
      </c>
      <c r="B14" s="33" t="s">
        <v>102</v>
      </c>
      <c r="C14" s="33" t="s">
        <v>103</v>
      </c>
      <c r="D14" s="33" t="s">
        <v>104</v>
      </c>
      <c r="E14" s="33" t="s">
        <v>105</v>
      </c>
      <c r="F14" s="33" t="s">
        <v>106</v>
      </c>
      <c r="G14" s="33" t="s">
        <v>107</v>
      </c>
      <c r="H14" s="33" t="s">
        <v>108</v>
      </c>
      <c r="I14" s="28"/>
    </row>
    <row r="15" spans="1:9" ht="15">
      <c r="A15" s="29">
        <f aca="true" t="shared" si="1" ref="A15:A20">A5</f>
        <v>1996</v>
      </c>
      <c r="B15" s="37">
        <f aca="true" t="shared" si="2" ref="B15:G15">C5/B5</f>
        <v>2.3380281690140845</v>
      </c>
      <c r="C15" s="37">
        <f t="shared" si="2"/>
        <v>1.7228915662650603</v>
      </c>
      <c r="D15" s="37">
        <f t="shared" si="2"/>
        <v>1.4545454545454546</v>
      </c>
      <c r="E15" s="37">
        <f t="shared" si="2"/>
        <v>1.2668269230769231</v>
      </c>
      <c r="F15" s="37">
        <f t="shared" si="2"/>
        <v>1.159392789373814</v>
      </c>
      <c r="G15" s="37">
        <f t="shared" si="2"/>
        <v>1.1080196399345335</v>
      </c>
      <c r="H15" s="32"/>
      <c r="I15" s="28"/>
    </row>
    <row r="16" spans="1:9" ht="15">
      <c r="A16" s="29">
        <f t="shared" si="1"/>
        <v>1997</v>
      </c>
      <c r="B16" s="37">
        <f aca="true" t="shared" si="3" ref="B16:E20">C6/B6</f>
        <v>2.2771084337349397</v>
      </c>
      <c r="C16" s="37">
        <f t="shared" si="3"/>
        <v>1.656084656084656</v>
      </c>
      <c r="D16" s="37">
        <f t="shared" si="3"/>
        <v>1.463258785942492</v>
      </c>
      <c r="E16" s="37">
        <f t="shared" si="3"/>
        <v>1.275109170305677</v>
      </c>
      <c r="F16" s="37">
        <f>G6/F6</f>
        <v>1.1506849315068493</v>
      </c>
      <c r="G16" s="38"/>
      <c r="H16" s="32"/>
      <c r="I16" s="28"/>
    </row>
    <row r="17" spans="1:9" ht="15">
      <c r="A17" s="29">
        <f t="shared" si="1"/>
        <v>1998</v>
      </c>
      <c r="B17" s="37">
        <f t="shared" si="3"/>
        <v>2.2903225806451615</v>
      </c>
      <c r="C17" s="37">
        <f t="shared" si="3"/>
        <v>1.6948356807511737</v>
      </c>
      <c r="D17" s="37">
        <f t="shared" si="3"/>
        <v>1.448753462603878</v>
      </c>
      <c r="E17" s="37">
        <f t="shared" si="3"/>
        <v>1.2562141491395793</v>
      </c>
      <c r="F17" s="38"/>
      <c r="G17" s="38"/>
      <c r="H17" s="32"/>
      <c r="I17" s="28"/>
    </row>
    <row r="18" spans="1:9" ht="15">
      <c r="A18" s="29">
        <f t="shared" si="1"/>
        <v>1999</v>
      </c>
      <c r="B18" s="37">
        <f t="shared" si="3"/>
        <v>2.1941747572815533</v>
      </c>
      <c r="C18" s="37">
        <f t="shared" si="3"/>
        <v>1.7433628318584071</v>
      </c>
      <c r="D18" s="37">
        <f t="shared" si="3"/>
        <v>1.4746192893401016</v>
      </c>
      <c r="E18" s="38"/>
      <c r="F18" s="38"/>
      <c r="G18" s="38"/>
      <c r="H18" s="32"/>
      <c r="I18" s="28"/>
    </row>
    <row r="19" spans="1:9" ht="15">
      <c r="A19" s="29">
        <f t="shared" si="1"/>
        <v>2000</v>
      </c>
      <c r="B19" s="37">
        <f t="shared" si="3"/>
        <v>2.2685185185185186</v>
      </c>
      <c r="C19" s="37">
        <f t="shared" si="3"/>
        <v>1.7836734693877552</v>
      </c>
      <c r="D19" s="38"/>
      <c r="E19" s="38"/>
      <c r="F19" s="38"/>
      <c r="G19" s="38"/>
      <c r="H19" s="32"/>
      <c r="I19" s="28"/>
    </row>
    <row r="20" spans="1:9" ht="15">
      <c r="A20" s="29">
        <f t="shared" si="1"/>
        <v>2001</v>
      </c>
      <c r="B20" s="37">
        <f t="shared" si="3"/>
        <v>2.1875</v>
      </c>
      <c r="C20" s="38"/>
      <c r="D20" s="38"/>
      <c r="E20" s="38"/>
      <c r="F20" s="38"/>
      <c r="G20" s="38"/>
      <c r="H20" s="32"/>
      <c r="I20" s="28"/>
    </row>
    <row r="21" spans="1:9" ht="6.75" customHeight="1">
      <c r="A21" s="32"/>
      <c r="B21" s="32"/>
      <c r="C21" s="32"/>
      <c r="D21" s="32"/>
      <c r="E21" s="32"/>
      <c r="F21" s="32"/>
      <c r="G21" s="32"/>
      <c r="H21" s="32"/>
      <c r="I21" s="28"/>
    </row>
    <row r="22" spans="1:9" ht="15">
      <c r="A22" s="31" t="s">
        <v>109</v>
      </c>
      <c r="B22" s="37">
        <f>AVERAGE(B15:B20)</f>
        <v>2.2592754098657095</v>
      </c>
      <c r="C22" s="37">
        <f>AVERAGE(C15:C19)</f>
        <v>1.7201696408694105</v>
      </c>
      <c r="D22" s="37">
        <f>AVERAGE(D15:D18)</f>
        <v>1.4602942481079815</v>
      </c>
      <c r="E22" s="37">
        <f>AVERAGE(E15:E17)</f>
        <v>1.2660500808407265</v>
      </c>
      <c r="F22" s="37">
        <f>AVERAGE(F15:F16)</f>
        <v>1.1550388604403317</v>
      </c>
      <c r="G22" s="37">
        <f>G15</f>
        <v>1.1080196399345335</v>
      </c>
      <c r="H22" s="38"/>
      <c r="I22" s="28"/>
    </row>
    <row r="23" spans="1:9" ht="15">
      <c r="A23" s="31" t="s">
        <v>114</v>
      </c>
      <c r="B23" s="37">
        <f>AVERAGE(B17:B20)</f>
        <v>2.2351289641113086</v>
      </c>
      <c r="C23" s="37">
        <f>AVERAGE(C16:C19)</f>
        <v>1.719489159520498</v>
      </c>
      <c r="D23" s="37">
        <f>AVERAGE(D15:D18)</f>
        <v>1.4602942481079815</v>
      </c>
      <c r="E23" s="38"/>
      <c r="F23" s="38"/>
      <c r="G23" s="38"/>
      <c r="H23" s="38"/>
      <c r="I23" s="28"/>
    </row>
    <row r="24" spans="1:9" ht="15">
      <c r="A24" s="31" t="s">
        <v>113</v>
      </c>
      <c r="B24" s="37">
        <f>(SUM(B15:B20)-MAX(B15:B20)-MIN(B15:B20))/4</f>
        <v>2.2575310725450435</v>
      </c>
      <c r="C24" s="37">
        <f>(SUM(C15:C20)-MAX(C15:C20)-MIN(C15:C20))/3</f>
        <v>1.7203633596248802</v>
      </c>
      <c r="D24" s="37">
        <f>(SUM(D15:D20)-MAX(D15:D20)-MIN(D15:D20))/2</f>
        <v>1.4589021202439731</v>
      </c>
      <c r="E24" s="38"/>
      <c r="F24" s="38"/>
      <c r="G24" s="38"/>
      <c r="H24" s="38"/>
      <c r="I24" s="28"/>
    </row>
    <row r="25" spans="1:9" ht="15">
      <c r="A25" s="31" t="s">
        <v>115</v>
      </c>
      <c r="B25" s="37">
        <f>SUM(C5:C10)/SUM(B5:B10)</f>
        <v>2.250853242320819</v>
      </c>
      <c r="C25" s="37">
        <f>SUM(D5:D9)/SUM(C5:C9)</f>
        <v>1.7237728585178056</v>
      </c>
      <c r="D25" s="37">
        <f>SUM(E5:E8)/SUM(D5:D8)</f>
        <v>1.4608567208271788</v>
      </c>
      <c r="E25" s="37">
        <f>SUM(F5:F7)/SUM(E5:E7)</f>
        <v>1.2655690765926986</v>
      </c>
      <c r="F25" s="37">
        <f>SUM(G5:G6)/SUM(F5:F6)</f>
        <v>1.1548154815481548</v>
      </c>
      <c r="G25" s="37">
        <f>G22</f>
        <v>1.1080196399345335</v>
      </c>
      <c r="H25" s="38"/>
      <c r="I25" s="28"/>
    </row>
    <row r="26" spans="1:9" ht="15">
      <c r="A26" s="32"/>
      <c r="B26" s="38"/>
      <c r="C26" s="38"/>
      <c r="D26" s="38"/>
      <c r="E26" s="38"/>
      <c r="F26" s="38"/>
      <c r="G26" s="38"/>
      <c r="H26" s="38"/>
      <c r="I26" s="28"/>
    </row>
    <row r="27" spans="1:9" ht="15">
      <c r="A27" s="31" t="s">
        <v>111</v>
      </c>
      <c r="B27" s="37">
        <f aca="true" t="shared" si="4" ref="B27:G27">B25</f>
        <v>2.250853242320819</v>
      </c>
      <c r="C27" s="37">
        <f t="shared" si="4"/>
        <v>1.7237728585178056</v>
      </c>
      <c r="D27" s="37">
        <f t="shared" si="4"/>
        <v>1.4608567208271788</v>
      </c>
      <c r="E27" s="37">
        <f t="shared" si="4"/>
        <v>1.2655690765926986</v>
      </c>
      <c r="F27" s="37">
        <f t="shared" si="4"/>
        <v>1.1548154815481548</v>
      </c>
      <c r="G27" s="37">
        <f t="shared" si="4"/>
        <v>1.1080196399345335</v>
      </c>
      <c r="H27" s="37" t="s">
        <v>85</v>
      </c>
      <c r="I27" s="28"/>
    </row>
    <row r="28" spans="1:9" ht="15">
      <c r="A28" s="31" t="s">
        <v>112</v>
      </c>
      <c r="B28" s="37">
        <f aca="true" t="shared" si="5" ref="B28:G28">B27*C28</f>
        <v>10.16998966458166</v>
      </c>
      <c r="C28" s="37">
        <f t="shared" si="5"/>
        <v>4.518281988965013</v>
      </c>
      <c r="D28" s="37">
        <f t="shared" si="5"/>
        <v>2.6211585631125898</v>
      </c>
      <c r="E28" s="37">
        <f t="shared" si="5"/>
        <v>1.794261220654422</v>
      </c>
      <c r="F28" s="37">
        <f t="shared" si="5"/>
        <v>1.4177505233338392</v>
      </c>
      <c r="G28" s="37">
        <f t="shared" si="5"/>
        <v>1.2276857610474632</v>
      </c>
      <c r="H28" s="37" t="str">
        <f>H27</f>
        <v>1.108</v>
      </c>
      <c r="I28" s="28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</sheetData>
  <printOptions/>
  <pageMargins left="1" right="1" top="1.2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12.10546875" style="2" customWidth="1"/>
    <col min="2" max="2" width="2.99609375" style="2" customWidth="1"/>
    <col min="3" max="7" width="9.99609375" style="2" customWidth="1"/>
    <col min="8" max="16384" width="7.10546875" style="2" customWidth="1"/>
  </cols>
  <sheetData>
    <row r="1" spans="1:7" ht="15">
      <c r="A1" s="87" t="s">
        <v>132</v>
      </c>
      <c r="B1" s="88"/>
      <c r="C1" s="88"/>
      <c r="D1" s="88"/>
      <c r="E1" s="27"/>
      <c r="F1" s="27"/>
      <c r="G1" s="28"/>
    </row>
    <row r="2" spans="1:7" ht="12.75" customHeight="1">
      <c r="A2" s="32"/>
      <c r="B2" s="32"/>
      <c r="C2" s="32"/>
      <c r="D2" s="32"/>
      <c r="E2" s="32"/>
      <c r="F2" s="32"/>
      <c r="G2" s="28"/>
    </row>
    <row r="3" spans="1:7" ht="15">
      <c r="A3" s="26" t="s">
        <v>201</v>
      </c>
      <c r="B3" s="27"/>
      <c r="C3" s="27"/>
      <c r="D3" s="27"/>
      <c r="E3" s="27"/>
      <c r="F3" s="27"/>
      <c r="G3" s="28"/>
    </row>
    <row r="4" spans="1:7" ht="15">
      <c r="A4" s="26" t="s">
        <v>191</v>
      </c>
      <c r="B4" s="27"/>
      <c r="C4" s="27"/>
      <c r="D4" s="27"/>
      <c r="E4" s="27"/>
      <c r="F4" s="27"/>
      <c r="G4" s="28"/>
    </row>
    <row r="5" spans="1:7" ht="15">
      <c r="A5" s="32"/>
      <c r="B5" s="32"/>
      <c r="C5" s="32"/>
      <c r="D5" s="32"/>
      <c r="E5" s="32"/>
      <c r="F5" s="32"/>
      <c r="G5" s="28"/>
    </row>
    <row r="6" spans="1:7" ht="15">
      <c r="A6" s="29" t="s">
        <v>34</v>
      </c>
      <c r="B6" s="32"/>
      <c r="C6" s="89" t="s">
        <v>133</v>
      </c>
      <c r="D6" s="89" t="s">
        <v>83</v>
      </c>
      <c r="E6" s="89" t="s">
        <v>84</v>
      </c>
      <c r="F6" s="89" t="s">
        <v>68</v>
      </c>
      <c r="G6" s="28"/>
    </row>
    <row r="7" spans="1:7" ht="15">
      <c r="A7" s="33" t="s">
        <v>39</v>
      </c>
      <c r="B7" s="90"/>
      <c r="C7" s="91" t="s">
        <v>40</v>
      </c>
      <c r="D7" s="91" t="s">
        <v>41</v>
      </c>
      <c r="E7" s="91" t="s">
        <v>38</v>
      </c>
      <c r="F7" s="91" t="s">
        <v>134</v>
      </c>
      <c r="G7" s="28"/>
    </row>
    <row r="8" spans="1:7" ht="15">
      <c r="A8" s="29" t="s">
        <v>44</v>
      </c>
      <c r="B8" s="32"/>
      <c r="C8" s="89" t="s">
        <v>45</v>
      </c>
      <c r="D8" s="89" t="s">
        <v>46</v>
      </c>
      <c r="E8" s="89" t="s">
        <v>47</v>
      </c>
      <c r="F8" s="89" t="s">
        <v>48</v>
      </c>
      <c r="G8" s="28"/>
    </row>
    <row r="9" spans="1:7" ht="15">
      <c r="A9" s="32"/>
      <c r="B9" s="32"/>
      <c r="C9" s="92" t="s">
        <v>192</v>
      </c>
      <c r="D9" s="92" t="s">
        <v>192</v>
      </c>
      <c r="E9" s="92" t="s">
        <v>127</v>
      </c>
      <c r="F9" s="92" t="s">
        <v>129</v>
      </c>
      <c r="G9" s="28"/>
    </row>
    <row r="10" spans="1:7" ht="15">
      <c r="A10" s="32"/>
      <c r="B10" s="32"/>
      <c r="C10" s="92"/>
      <c r="D10" s="92"/>
      <c r="E10" s="92"/>
      <c r="F10" s="92"/>
      <c r="G10" s="28"/>
    </row>
    <row r="11" spans="1:7" ht="15">
      <c r="A11" s="29">
        <f aca="true" t="shared" si="0" ref="A11:A16">+A12-1</f>
        <v>1996</v>
      </c>
      <c r="B11" s="32"/>
      <c r="C11" s="93">
        <f>'Slide 7'!H5</f>
        <v>677</v>
      </c>
      <c r="D11" s="94" t="str">
        <f>'Slide 7'!H28</f>
        <v>1.108</v>
      </c>
      <c r="E11" s="93">
        <f aca="true" t="shared" si="1" ref="E11:E17">C11*D11</f>
        <v>750.1160000000001</v>
      </c>
      <c r="F11" s="93">
        <f aca="true" t="shared" si="2" ref="F11:F17">E11-C11</f>
        <v>73.1160000000001</v>
      </c>
      <c r="G11" s="28"/>
    </row>
    <row r="12" spans="1:7" ht="15">
      <c r="A12" s="29">
        <f t="shared" si="0"/>
        <v>1997</v>
      </c>
      <c r="B12" s="32"/>
      <c r="C12" s="93">
        <f>'Slide 7'!G6</f>
        <v>672</v>
      </c>
      <c r="D12" s="94">
        <f>'Slide 7'!G28</f>
        <v>1.2276857610474632</v>
      </c>
      <c r="E12" s="93">
        <f t="shared" si="1"/>
        <v>825.0048314238952</v>
      </c>
      <c r="F12" s="93">
        <f t="shared" si="2"/>
        <v>153.0048314238952</v>
      </c>
      <c r="G12" s="28"/>
    </row>
    <row r="13" spans="1:7" ht="15">
      <c r="A13" s="29">
        <f t="shared" si="0"/>
        <v>1998</v>
      </c>
      <c r="B13" s="32"/>
      <c r="C13" s="93">
        <f>'Slide 7'!F7</f>
        <v>657</v>
      </c>
      <c r="D13" s="94">
        <f>'Slide 7'!F28</f>
        <v>1.4177505233338392</v>
      </c>
      <c r="E13" s="93">
        <f t="shared" si="1"/>
        <v>931.4620938303324</v>
      </c>
      <c r="F13" s="93">
        <f t="shared" si="2"/>
        <v>274.4620938303324</v>
      </c>
      <c r="G13" s="28"/>
    </row>
    <row r="14" spans="1:7" ht="15">
      <c r="A14" s="29">
        <f t="shared" si="0"/>
        <v>1999</v>
      </c>
      <c r="B14" s="32"/>
      <c r="C14" s="93">
        <f>'Slide 7'!E8</f>
        <v>581</v>
      </c>
      <c r="D14" s="94">
        <f>'Slide 7'!E28</f>
        <v>1.794261220654422</v>
      </c>
      <c r="E14" s="93">
        <f t="shared" si="1"/>
        <v>1042.4657692002193</v>
      </c>
      <c r="F14" s="93">
        <f t="shared" si="2"/>
        <v>461.46576920021926</v>
      </c>
      <c r="G14" s="28"/>
    </row>
    <row r="15" spans="1:7" ht="15">
      <c r="A15" s="29">
        <f t="shared" si="0"/>
        <v>2000</v>
      </c>
      <c r="B15" s="32"/>
      <c r="C15" s="93">
        <f>'Slide 7'!D9</f>
        <v>437</v>
      </c>
      <c r="D15" s="94">
        <f>'Slide 7'!D28</f>
        <v>2.6211585631125898</v>
      </c>
      <c r="E15" s="93">
        <f t="shared" si="1"/>
        <v>1145.4462920802018</v>
      </c>
      <c r="F15" s="93">
        <f t="shared" si="2"/>
        <v>708.4462920802018</v>
      </c>
      <c r="G15" s="28"/>
    </row>
    <row r="16" spans="1:7" ht="15">
      <c r="A16" s="29">
        <f t="shared" si="0"/>
        <v>2001</v>
      </c>
      <c r="B16" s="32"/>
      <c r="C16" s="93">
        <f>'Slide 10'!C11</f>
        <v>280</v>
      </c>
      <c r="D16" s="94">
        <f>'Slide 7'!C28</f>
        <v>4.518281988965013</v>
      </c>
      <c r="E16" s="93">
        <f t="shared" si="1"/>
        <v>1265.1189569102037</v>
      </c>
      <c r="F16" s="93">
        <f t="shared" si="2"/>
        <v>985.1189569102037</v>
      </c>
      <c r="G16" s="28"/>
    </row>
    <row r="17" spans="1:7" ht="15">
      <c r="A17" s="29">
        <f>curryr</f>
        <v>2002</v>
      </c>
      <c r="B17" s="32"/>
      <c r="C17" s="95">
        <f>'Slide 7'!B11</f>
        <v>132</v>
      </c>
      <c r="D17" s="94">
        <f>'Slide 7'!B28</f>
        <v>10.16998966458166</v>
      </c>
      <c r="E17" s="95">
        <f t="shared" si="1"/>
        <v>1342.438635724779</v>
      </c>
      <c r="F17" s="95">
        <f t="shared" si="2"/>
        <v>1210.438635724779</v>
      </c>
      <c r="G17" s="28"/>
    </row>
    <row r="18" spans="1:7" ht="15">
      <c r="A18" s="32"/>
      <c r="B18" s="32"/>
      <c r="C18" s="96"/>
      <c r="D18" s="96"/>
      <c r="E18" s="96"/>
      <c r="F18" s="96"/>
      <c r="G18" s="28"/>
    </row>
    <row r="19" spans="1:7" ht="15">
      <c r="A19" s="29" t="s">
        <v>8</v>
      </c>
      <c r="B19" s="32"/>
      <c r="C19" s="93">
        <f>SUM(C11:C17)</f>
        <v>3436</v>
      </c>
      <c r="D19" s="89"/>
      <c r="E19" s="93">
        <f>SUM(E11:E17)</f>
        <v>7302.052579169631</v>
      </c>
      <c r="F19" s="93">
        <f>SUM(F11:F17)</f>
        <v>3866.0525791696314</v>
      </c>
      <c r="G19" s="28"/>
    </row>
    <row r="20" spans="1:7" ht="15">
      <c r="A20" s="32"/>
      <c r="B20" s="32"/>
      <c r="C20" s="32"/>
      <c r="D20" s="32"/>
      <c r="E20" s="32"/>
      <c r="F20" s="32"/>
      <c r="G20" s="28"/>
    </row>
    <row r="21" spans="1:6" ht="15">
      <c r="A21" s="4"/>
      <c r="B21" s="3"/>
      <c r="C21" s="3"/>
      <c r="D21" s="3"/>
      <c r="E21" s="3"/>
      <c r="F21" s="3"/>
    </row>
    <row r="22" spans="1:6" ht="15">
      <c r="A22" s="4"/>
      <c r="B22" s="3"/>
      <c r="C22" s="3"/>
      <c r="D22" s="3"/>
      <c r="E22" s="3"/>
      <c r="F22" s="3"/>
    </row>
  </sheetData>
  <printOptions/>
  <pageMargins left="1" right="1" top="1.2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8" width="9.6640625" style="2" customWidth="1"/>
    <col min="9" max="16384" width="7.10546875" style="2" customWidth="1"/>
  </cols>
  <sheetData>
    <row r="1" spans="1:8" ht="15.75">
      <c r="A1" s="97" t="s">
        <v>135</v>
      </c>
      <c r="B1" s="98"/>
      <c r="C1" s="98"/>
      <c r="D1" s="98"/>
      <c r="E1" s="98"/>
      <c r="F1" s="27"/>
      <c r="G1" s="27"/>
      <c r="H1" s="27"/>
    </row>
    <row r="2" spans="1:8" ht="12.75" customHeight="1">
      <c r="A2" s="99" t="s">
        <v>191</v>
      </c>
      <c r="B2" s="100"/>
      <c r="C2" s="27"/>
      <c r="D2" s="27"/>
      <c r="E2" s="27"/>
      <c r="F2" s="27"/>
      <c r="G2" s="27"/>
      <c r="H2" s="27"/>
    </row>
    <row r="3" spans="1:8" ht="15.75">
      <c r="A3" s="99" t="s">
        <v>201</v>
      </c>
      <c r="B3" s="100"/>
      <c r="C3" s="100"/>
      <c r="D3" s="100"/>
      <c r="E3" s="100"/>
      <c r="F3" s="100"/>
      <c r="G3" s="100"/>
      <c r="H3" s="100"/>
    </row>
    <row r="4" spans="1:12" ht="15.75">
      <c r="A4" s="29" t="s">
        <v>34</v>
      </c>
      <c r="B4" s="30" t="s">
        <v>94</v>
      </c>
      <c r="C4" s="30" t="s">
        <v>94</v>
      </c>
      <c r="D4" s="31" t="s">
        <v>136</v>
      </c>
      <c r="E4" s="32"/>
      <c r="F4" s="32"/>
      <c r="G4" s="30" t="s">
        <v>94</v>
      </c>
      <c r="H4" s="30" t="s">
        <v>94</v>
      </c>
      <c r="L4"/>
    </row>
    <row r="5" spans="1:8" ht="15">
      <c r="A5" s="29" t="s">
        <v>39</v>
      </c>
      <c r="B5" s="33" t="s">
        <v>95</v>
      </c>
      <c r="C5" s="33" t="s">
        <v>96</v>
      </c>
      <c r="D5" s="33" t="s">
        <v>97</v>
      </c>
      <c r="E5" s="33" t="s">
        <v>98</v>
      </c>
      <c r="F5" s="33" t="s">
        <v>99</v>
      </c>
      <c r="G5" s="33" t="s">
        <v>100</v>
      </c>
      <c r="H5" s="33" t="s">
        <v>101</v>
      </c>
    </row>
    <row r="6" spans="1:8" ht="15">
      <c r="A6" s="29">
        <f aca="true" t="shared" si="0" ref="A6:A11">+A7-1</f>
        <v>1996</v>
      </c>
      <c r="B6" s="101">
        <v>71</v>
      </c>
      <c r="C6" s="101" t="s">
        <v>193</v>
      </c>
      <c r="D6" s="101" t="s">
        <v>194</v>
      </c>
      <c r="E6" s="101" t="s">
        <v>195</v>
      </c>
      <c r="F6" s="101" t="s">
        <v>196</v>
      </c>
      <c r="G6" s="101" t="s">
        <v>197</v>
      </c>
      <c r="H6" s="101">
        <v>677</v>
      </c>
    </row>
    <row r="7" spans="1:8" ht="15">
      <c r="A7" s="29">
        <f t="shared" si="0"/>
        <v>1997</v>
      </c>
      <c r="B7" s="101">
        <v>83</v>
      </c>
      <c r="C7" s="101">
        <v>189</v>
      </c>
      <c r="D7" s="101">
        <v>313</v>
      </c>
      <c r="E7" s="101">
        <v>458</v>
      </c>
      <c r="F7" s="101">
        <v>584</v>
      </c>
      <c r="G7" s="101">
        <v>672</v>
      </c>
      <c r="H7" s="102"/>
    </row>
    <row r="8" spans="1:8" ht="15">
      <c r="A8" s="29">
        <f t="shared" si="0"/>
        <v>1998</v>
      </c>
      <c r="B8" s="101">
        <v>93</v>
      </c>
      <c r="C8" s="101">
        <v>213</v>
      </c>
      <c r="D8" s="101">
        <v>361</v>
      </c>
      <c r="E8" s="101">
        <v>523</v>
      </c>
      <c r="F8" s="101">
        <v>657</v>
      </c>
      <c r="G8" s="102"/>
      <c r="H8" s="102"/>
    </row>
    <row r="9" spans="1:8" ht="15">
      <c r="A9" s="29">
        <f t="shared" si="0"/>
        <v>1999</v>
      </c>
      <c r="B9" s="101">
        <v>103</v>
      </c>
      <c r="C9" s="101">
        <v>226</v>
      </c>
      <c r="D9" s="101">
        <v>394</v>
      </c>
      <c r="E9" s="101">
        <v>581</v>
      </c>
      <c r="F9" s="102"/>
      <c r="G9" s="102"/>
      <c r="H9" s="102"/>
    </row>
    <row r="10" spans="1:8" ht="15">
      <c r="A10" s="29">
        <f t="shared" si="0"/>
        <v>2000</v>
      </c>
      <c r="B10" s="101">
        <v>108</v>
      </c>
      <c r="C10" s="101">
        <v>245</v>
      </c>
      <c r="D10" s="101">
        <v>437</v>
      </c>
      <c r="E10" s="102"/>
      <c r="F10" s="102"/>
      <c r="G10" s="102"/>
      <c r="H10" s="102"/>
    </row>
    <row r="11" spans="1:8" ht="15">
      <c r="A11" s="29">
        <f t="shared" si="0"/>
        <v>2001</v>
      </c>
      <c r="B11" s="101">
        <v>128</v>
      </c>
      <c r="C11" s="101">
        <v>280</v>
      </c>
      <c r="D11" s="102"/>
      <c r="E11" s="102"/>
      <c r="F11" s="102"/>
      <c r="G11" s="102"/>
      <c r="H11" s="102"/>
    </row>
    <row r="12" spans="1:8" ht="15">
      <c r="A12" s="29">
        <f>curryr</f>
        <v>2002</v>
      </c>
      <c r="B12" s="101">
        <v>132</v>
      </c>
      <c r="C12" s="102"/>
      <c r="D12" s="102"/>
      <c r="E12" s="102"/>
      <c r="F12" s="102"/>
      <c r="G12" s="102"/>
      <c r="H12" s="102"/>
    </row>
    <row r="13" spans="1:8" ht="15">
      <c r="A13" s="32"/>
      <c r="B13" s="103"/>
      <c r="C13" s="103"/>
      <c r="D13" s="103"/>
      <c r="E13" s="103"/>
      <c r="F13" s="103"/>
      <c r="G13" s="103"/>
      <c r="H13" s="103"/>
    </row>
    <row r="14" spans="1:8" ht="15">
      <c r="A14" s="29" t="s">
        <v>34</v>
      </c>
      <c r="B14" s="30" t="s">
        <v>94</v>
      </c>
      <c r="C14" s="30" t="s">
        <v>94</v>
      </c>
      <c r="D14" s="31" t="s">
        <v>147</v>
      </c>
      <c r="E14" s="32"/>
      <c r="F14" s="32"/>
      <c r="G14" s="30" t="s">
        <v>94</v>
      </c>
      <c r="H14" s="30" t="s">
        <v>94</v>
      </c>
    </row>
    <row r="15" spans="1:8" ht="15">
      <c r="A15" s="29" t="s">
        <v>39</v>
      </c>
      <c r="B15" s="33" t="s">
        <v>95</v>
      </c>
      <c r="C15" s="33" t="s">
        <v>96</v>
      </c>
      <c r="D15" s="33" t="s">
        <v>97</v>
      </c>
      <c r="E15" s="33" t="s">
        <v>98</v>
      </c>
      <c r="F15" s="33" t="s">
        <v>99</v>
      </c>
      <c r="G15" s="33" t="s">
        <v>100</v>
      </c>
      <c r="H15" s="33" t="s">
        <v>101</v>
      </c>
    </row>
    <row r="16" spans="1:8" ht="15">
      <c r="A16" s="29">
        <f aca="true" t="shared" si="1" ref="A16:A21">+A17-1</f>
        <v>1996</v>
      </c>
      <c r="B16" s="101">
        <v>3361</v>
      </c>
      <c r="C16" s="101">
        <v>5991</v>
      </c>
      <c r="D16" s="101">
        <v>7341</v>
      </c>
      <c r="E16" s="101">
        <v>8259</v>
      </c>
      <c r="F16" s="101">
        <v>8916</v>
      </c>
      <c r="G16" s="101">
        <v>9408</v>
      </c>
      <c r="H16" s="101">
        <v>9759</v>
      </c>
    </row>
    <row r="17" spans="1:8" ht="15">
      <c r="A17" s="29">
        <f t="shared" si="1"/>
        <v>1997</v>
      </c>
      <c r="B17" s="101">
        <v>3780</v>
      </c>
      <c r="C17" s="101">
        <v>6671</v>
      </c>
      <c r="D17" s="101">
        <v>8156</v>
      </c>
      <c r="E17" s="101">
        <v>9205</v>
      </c>
      <c r="F17" s="101">
        <v>9990</v>
      </c>
      <c r="G17" s="101">
        <v>10508</v>
      </c>
      <c r="H17" s="102"/>
    </row>
    <row r="18" spans="1:8" ht="15">
      <c r="A18" s="29">
        <f t="shared" si="1"/>
        <v>1998</v>
      </c>
      <c r="B18" s="101">
        <v>4212</v>
      </c>
      <c r="C18" s="101">
        <v>7541</v>
      </c>
      <c r="D18" s="101">
        <v>9351</v>
      </c>
      <c r="E18" s="101">
        <v>10639</v>
      </c>
      <c r="F18" s="101">
        <v>11536</v>
      </c>
      <c r="G18" s="102"/>
      <c r="H18" s="102"/>
    </row>
    <row r="19" spans="1:8" ht="15">
      <c r="A19" s="29">
        <f t="shared" si="1"/>
        <v>1999</v>
      </c>
      <c r="B19" s="101">
        <v>4901</v>
      </c>
      <c r="C19" s="101">
        <v>8864</v>
      </c>
      <c r="D19" s="101">
        <v>10987</v>
      </c>
      <c r="E19" s="101">
        <v>12458</v>
      </c>
      <c r="F19" s="102"/>
      <c r="G19" s="102"/>
      <c r="H19" s="102"/>
    </row>
    <row r="20" spans="1:8" ht="15">
      <c r="A20" s="29">
        <f t="shared" si="1"/>
        <v>2000</v>
      </c>
      <c r="B20" s="101">
        <v>5708</v>
      </c>
      <c r="C20" s="101">
        <v>10268</v>
      </c>
      <c r="D20" s="101">
        <v>12699</v>
      </c>
      <c r="E20" s="102"/>
      <c r="F20" s="102"/>
      <c r="G20" s="102"/>
      <c r="H20" s="102"/>
    </row>
    <row r="21" spans="1:8" ht="15">
      <c r="A21" s="29">
        <f t="shared" si="1"/>
        <v>2001</v>
      </c>
      <c r="B21" s="101">
        <v>6093</v>
      </c>
      <c r="C21" s="101">
        <v>11172</v>
      </c>
      <c r="D21" s="102"/>
      <c r="E21" s="102"/>
      <c r="F21" s="102"/>
      <c r="G21" s="102"/>
      <c r="H21" s="102"/>
    </row>
    <row r="22" spans="1:8" ht="15">
      <c r="A22" s="29">
        <f>+A12</f>
        <v>2002</v>
      </c>
      <c r="B22" s="101">
        <v>6962</v>
      </c>
      <c r="C22" s="102"/>
      <c r="D22" s="102"/>
      <c r="E22" s="102"/>
      <c r="F22" s="102"/>
      <c r="G22" s="102"/>
      <c r="H22" s="102"/>
    </row>
    <row r="23" spans="1:8" ht="12.75">
      <c r="A23" s="28"/>
      <c r="B23" s="28"/>
      <c r="C23" s="28"/>
      <c r="D23" s="28"/>
      <c r="E23" s="28"/>
      <c r="F23" s="28"/>
      <c r="G23" s="28"/>
      <c r="H23" s="28"/>
    </row>
  </sheetData>
  <printOptions/>
  <pageMargins left="1" right="1" top="1.25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9.21484375" style="2" customWidth="1"/>
    <col min="2" max="8" width="8.77734375" style="2" customWidth="1"/>
    <col min="9" max="9" width="9.21484375" style="2" customWidth="1"/>
    <col min="10" max="16384" width="8.88671875" style="2" customWidth="1"/>
  </cols>
  <sheetData>
    <row r="1" spans="1:9" ht="15.75">
      <c r="A1" s="97" t="s">
        <v>135</v>
      </c>
      <c r="B1" s="98"/>
      <c r="C1" s="98"/>
      <c r="D1" s="98"/>
      <c r="E1" s="98"/>
      <c r="F1" s="27"/>
      <c r="G1" s="27"/>
      <c r="H1" s="27"/>
      <c r="I1" s="28"/>
    </row>
    <row r="2" spans="1:9" ht="15">
      <c r="A2" s="32"/>
      <c r="B2" s="32"/>
      <c r="C2" s="32"/>
      <c r="D2" s="32"/>
      <c r="E2" s="32"/>
      <c r="F2" s="32"/>
      <c r="G2" s="32"/>
      <c r="H2" s="32"/>
      <c r="I2" s="28"/>
    </row>
    <row r="3" spans="1:9" ht="15.75">
      <c r="A3" s="99" t="s">
        <v>201</v>
      </c>
      <c r="B3" s="100"/>
      <c r="C3" s="100"/>
      <c r="D3" s="100"/>
      <c r="E3" s="100"/>
      <c r="F3" s="100"/>
      <c r="G3" s="100"/>
      <c r="H3" s="100"/>
      <c r="I3" s="28"/>
    </row>
    <row r="4" spans="1:9" ht="15">
      <c r="A4" s="32"/>
      <c r="B4" s="32"/>
      <c r="C4" s="32"/>
      <c r="D4" s="32"/>
      <c r="E4" s="32"/>
      <c r="F4" s="32"/>
      <c r="G4" s="32"/>
      <c r="H4" s="32"/>
      <c r="I4" s="28"/>
    </row>
    <row r="5" spans="1:9" ht="15">
      <c r="A5" s="29" t="s">
        <v>34</v>
      </c>
      <c r="B5" s="104" t="s">
        <v>148</v>
      </c>
      <c r="C5" s="32"/>
      <c r="D5" s="32"/>
      <c r="E5" s="32"/>
      <c r="F5" s="32"/>
      <c r="G5" s="32"/>
      <c r="H5" s="30" t="s">
        <v>94</v>
      </c>
      <c r="I5" s="28"/>
    </row>
    <row r="6" spans="1:9" ht="15">
      <c r="A6" s="29" t="s">
        <v>39</v>
      </c>
      <c r="B6" s="33" t="s">
        <v>95</v>
      </c>
      <c r="C6" s="33" t="s">
        <v>96</v>
      </c>
      <c r="D6" s="33" t="s">
        <v>97</v>
      </c>
      <c r="E6" s="33" t="s">
        <v>98</v>
      </c>
      <c r="F6" s="33" t="s">
        <v>99</v>
      </c>
      <c r="G6" s="33" t="s">
        <v>100</v>
      </c>
      <c r="H6" s="33" t="s">
        <v>101</v>
      </c>
      <c r="I6" s="28"/>
    </row>
    <row r="7" spans="1:9" ht="15">
      <c r="A7" s="32"/>
      <c r="B7" s="32"/>
      <c r="C7" s="32"/>
      <c r="D7" s="32"/>
      <c r="E7" s="32"/>
      <c r="F7" s="32"/>
      <c r="G7" s="32"/>
      <c r="H7" s="32"/>
      <c r="I7" s="28"/>
    </row>
    <row r="8" spans="1:9" ht="15">
      <c r="A8" s="29">
        <f aca="true" t="shared" si="0" ref="A8:A13">+A9-1</f>
        <v>1996</v>
      </c>
      <c r="B8" s="37">
        <f>'Slide 10'!B6/'Slide 10'!B16</f>
        <v>0.021124665278191016</v>
      </c>
      <c r="C8" s="37">
        <f>'Slide 10'!C6/'Slide 10'!C16</f>
        <v>0.02770822901018194</v>
      </c>
      <c r="D8" s="37">
        <f>'Slide 10'!D6/'Slide 10'!D16</f>
        <v>0.03895926985424329</v>
      </c>
      <c r="E8" s="37">
        <f>'Slide 10'!E6/'Slide 10'!E16</f>
        <v>0.05036929410340235</v>
      </c>
      <c r="F8" s="37">
        <f>'Slide 10'!F6/'Slide 10'!F16</f>
        <v>0.059107222969941677</v>
      </c>
      <c r="G8" s="37">
        <f>'Slide 10'!G6/'Slide 10'!G16</f>
        <v>0.06494472789115646</v>
      </c>
      <c r="H8" s="37">
        <f>'Slide 10'!H6/'Slide 10'!H16</f>
        <v>0.06937186187109334</v>
      </c>
      <c r="I8" s="28"/>
    </row>
    <row r="9" spans="1:9" ht="15">
      <c r="A9" s="29">
        <f t="shared" si="0"/>
        <v>1997</v>
      </c>
      <c r="B9" s="37">
        <f>'Slide 10'!B7/'Slide 10'!B17</f>
        <v>0.021957671957671957</v>
      </c>
      <c r="C9" s="37">
        <f>'Slide 10'!C7/'Slide 10'!C17</f>
        <v>0.02833158447009444</v>
      </c>
      <c r="D9" s="37">
        <f>'Slide 10'!D7/'Slide 10'!D17</f>
        <v>0.0383766552231486</v>
      </c>
      <c r="E9" s="37">
        <f>'Slide 10'!E7/'Slide 10'!E17</f>
        <v>0.04975556762629006</v>
      </c>
      <c r="F9" s="37">
        <f>'Slide 10'!F7/'Slide 10'!F17</f>
        <v>0.05845845845845846</v>
      </c>
      <c r="G9" s="37">
        <f>'Slide 10'!G7/'Slide 10'!G17</f>
        <v>0.06395127521888085</v>
      </c>
      <c r="H9" s="37"/>
      <c r="I9" s="28"/>
    </row>
    <row r="10" spans="1:9" ht="15">
      <c r="A10" s="29">
        <f t="shared" si="0"/>
        <v>1998</v>
      </c>
      <c r="B10" s="37">
        <f>'Slide 10'!B8/'Slide 10'!B18</f>
        <v>0.02207977207977208</v>
      </c>
      <c r="C10" s="37">
        <f>'Slide 10'!C8/'Slide 10'!C18</f>
        <v>0.028245590770454847</v>
      </c>
      <c r="D10" s="37">
        <f>'Slide 10'!D8/'Slide 10'!D18</f>
        <v>0.03860549673831676</v>
      </c>
      <c r="E10" s="37">
        <f>'Slide 10'!E8/'Slide 10'!E18</f>
        <v>0.04915875552213554</v>
      </c>
      <c r="F10" s="37">
        <f>'Slide 10'!F8/'Slide 10'!F18</f>
        <v>0.05695214979195562</v>
      </c>
      <c r="G10" s="37"/>
      <c r="H10" s="37"/>
      <c r="I10" s="28"/>
    </row>
    <row r="11" spans="1:9" ht="15">
      <c r="A11" s="29">
        <f t="shared" si="0"/>
        <v>1999</v>
      </c>
      <c r="B11" s="37">
        <f>'Slide 10'!B9/'Slide 10'!B19</f>
        <v>0.021016119159355234</v>
      </c>
      <c r="C11" s="37">
        <f>'Slide 10'!C9/'Slide 10'!C19</f>
        <v>0.025496389891696752</v>
      </c>
      <c r="D11" s="37">
        <f>'Slide 10'!D9/'Slide 10'!D19</f>
        <v>0.03586056248293438</v>
      </c>
      <c r="E11" s="37">
        <f>'Slide 10'!E9/'Slide 10'!E19</f>
        <v>0.04663669930968053</v>
      </c>
      <c r="F11" s="37"/>
      <c r="G11" s="37"/>
      <c r="H11" s="37"/>
      <c r="I11" s="28"/>
    </row>
    <row r="12" spans="1:9" ht="15">
      <c r="A12" s="29">
        <f t="shared" si="0"/>
        <v>2000</v>
      </c>
      <c r="B12" s="37">
        <f>'Slide 10'!B10/'Slide 10'!B20</f>
        <v>0.0189208128941836</v>
      </c>
      <c r="C12" s="37">
        <f>'Slide 10'!C10/'Slide 10'!C20</f>
        <v>0.02386053759252045</v>
      </c>
      <c r="D12" s="37">
        <f>'Slide 10'!D10/'Slide 10'!D20</f>
        <v>0.03441215843767226</v>
      </c>
      <c r="E12" s="37"/>
      <c r="F12" s="37"/>
      <c r="G12" s="37"/>
      <c r="H12" s="37"/>
      <c r="I12" s="28"/>
    </row>
    <row r="13" spans="1:9" ht="15">
      <c r="A13" s="29">
        <f t="shared" si="0"/>
        <v>2001</v>
      </c>
      <c r="B13" s="37">
        <f>'Slide 10'!B11/'Slide 10'!B21</f>
        <v>0.021007713769899884</v>
      </c>
      <c r="C13" s="37">
        <f>'Slide 10'!C11/'Slide 10'!C21</f>
        <v>0.02506265664160401</v>
      </c>
      <c r="D13" s="37"/>
      <c r="E13" s="37"/>
      <c r="F13" s="37"/>
      <c r="G13" s="37"/>
      <c r="H13" s="37"/>
      <c r="I13" s="28"/>
    </row>
    <row r="14" spans="1:9" ht="15">
      <c r="A14" s="29">
        <f>curryr</f>
        <v>2002</v>
      </c>
      <c r="B14" s="37">
        <f>'Slide 10'!B12/'Slide 10'!B22</f>
        <v>0.018960068945705257</v>
      </c>
      <c r="C14" s="38"/>
      <c r="D14" s="38"/>
      <c r="E14" s="38"/>
      <c r="F14" s="38"/>
      <c r="G14" s="38"/>
      <c r="H14" s="38"/>
      <c r="I14" s="28"/>
    </row>
    <row r="15" spans="1:9" ht="12.75">
      <c r="A15" s="28"/>
      <c r="B15" s="28"/>
      <c r="C15" s="28"/>
      <c r="D15" s="28"/>
      <c r="E15" s="28"/>
      <c r="F15" s="28"/>
      <c r="G15" s="28"/>
      <c r="H15" s="28"/>
      <c r="I15" s="28"/>
    </row>
  </sheetData>
  <printOptions/>
  <pageMargins left="1" right="1" top="1.25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17.3359375" style="1" bestFit="1" customWidth="1"/>
    <col min="2" max="8" width="8.77734375" style="1" customWidth="1"/>
    <col min="9" max="16384" width="7.10546875" style="1" customWidth="1"/>
  </cols>
  <sheetData>
    <row r="1" spans="1:9" ht="15.75">
      <c r="A1" s="105" t="s">
        <v>137</v>
      </c>
      <c r="B1" s="106"/>
      <c r="C1" s="106"/>
      <c r="D1" s="106"/>
      <c r="E1" s="106"/>
      <c r="F1" s="107"/>
      <c r="G1" s="107"/>
      <c r="H1" s="107"/>
      <c r="I1" s="28"/>
    </row>
    <row r="2" spans="1:9" ht="15.75">
      <c r="A2" s="108" t="s">
        <v>17</v>
      </c>
      <c r="B2" s="107"/>
      <c r="C2" s="107"/>
      <c r="D2" s="107"/>
      <c r="E2" s="107"/>
      <c r="F2" s="107"/>
      <c r="G2" s="107"/>
      <c r="H2" s="107"/>
      <c r="I2" s="28"/>
    </row>
    <row r="3" spans="1:9" ht="12.75" customHeight="1">
      <c r="A3" s="109"/>
      <c r="B3" s="109"/>
      <c r="C3" s="109"/>
      <c r="D3" s="109"/>
      <c r="E3" s="109"/>
      <c r="F3" s="109"/>
      <c r="G3" s="109"/>
      <c r="H3" s="109"/>
      <c r="I3" s="28"/>
    </row>
    <row r="4" spans="1:9" ht="15.75">
      <c r="A4" s="110" t="s">
        <v>34</v>
      </c>
      <c r="B4" s="111" t="s">
        <v>94</v>
      </c>
      <c r="C4" s="111" t="s">
        <v>94</v>
      </c>
      <c r="D4" s="112" t="s">
        <v>149</v>
      </c>
      <c r="E4" s="109"/>
      <c r="F4" s="109"/>
      <c r="G4" s="109"/>
      <c r="H4" s="111" t="s">
        <v>94</v>
      </c>
      <c r="I4" s="28"/>
    </row>
    <row r="5" spans="1:9" ht="15.75">
      <c r="A5" s="110" t="s">
        <v>39</v>
      </c>
      <c r="B5" s="113" t="s">
        <v>102</v>
      </c>
      <c r="C5" s="113" t="s">
        <v>103</v>
      </c>
      <c r="D5" s="113" t="s">
        <v>104</v>
      </c>
      <c r="E5" s="113" t="s">
        <v>105</v>
      </c>
      <c r="F5" s="113" t="s">
        <v>106</v>
      </c>
      <c r="G5" s="113" t="s">
        <v>107</v>
      </c>
      <c r="H5" s="113" t="s">
        <v>108</v>
      </c>
      <c r="I5" s="28"/>
    </row>
    <row r="6" spans="1:9" ht="15.75">
      <c r="A6" s="110">
        <f>+A7-1</f>
        <v>1996</v>
      </c>
      <c r="B6" s="114">
        <f>'Slide 11'!C8/'Slide 11'!B8</f>
        <v>1.3116529253974858</v>
      </c>
      <c r="C6" s="114">
        <f>'Slide 11'!D8/'Slide 11'!C8</f>
        <v>1.406054130703443</v>
      </c>
      <c r="D6" s="114">
        <f>'Slide 11'!E8/'Slide 11'!D8</f>
        <v>1.29287058745831</v>
      </c>
      <c r="E6" s="114">
        <f>'Slide 11'!F8/'Slide 11'!E8</f>
        <v>1.1734772944921834</v>
      </c>
      <c r="F6" s="114">
        <f>'Slide 11'!G8/'Slide 11'!F8</f>
        <v>1.0987612787050305</v>
      </c>
      <c r="G6" s="114">
        <f>'Slide 11'!H8/'Slide 11'!G8</f>
        <v>1.068167719285182</v>
      </c>
      <c r="H6" s="109"/>
      <c r="I6" s="28"/>
    </row>
    <row r="7" spans="1:9" ht="15.75">
      <c r="A7" s="110">
        <f>+A8-1</f>
        <v>1997</v>
      </c>
      <c r="B7" s="114">
        <f>'Slide 11'!C9/'Slide 11'!B9</f>
        <v>1.2902817987585178</v>
      </c>
      <c r="C7" s="114">
        <f>'Slide 11'!D9/'Slide 11'!C9</f>
        <v>1.3545537936170597</v>
      </c>
      <c r="D7" s="114">
        <f>'Slide 11'!E9/'Slide 11'!D9</f>
        <v>1.2965061008307406</v>
      </c>
      <c r="E7" s="114">
        <f>'Slide 11'!F9/'Slide 11'!E9</f>
        <v>1.174912904170546</v>
      </c>
      <c r="F7" s="114">
        <f>'Slide 11'!G9/'Slide 11'!F9</f>
        <v>1.0939610264325679</v>
      </c>
      <c r="G7" s="109"/>
      <c r="H7" s="109"/>
      <c r="I7" s="28"/>
    </row>
    <row r="8" spans="1:9" ht="15.75">
      <c r="A8" s="110">
        <f>+A9-1</f>
        <v>1998</v>
      </c>
      <c r="B8" s="114">
        <f>'Slide 11'!C10/'Slide 11'!B10</f>
        <v>1.2792519174747938</v>
      </c>
      <c r="C8" s="114">
        <f>'Slide 11'!D10/'Slide 11'!C10</f>
        <v>1.3667795817072614</v>
      </c>
      <c r="D8" s="114">
        <f>'Slide 11'!E10/'Slide 11'!D10</f>
        <v>1.273361559245123</v>
      </c>
      <c r="E8" s="114">
        <f>'Slide 11'!F10/'Slide 11'!E10</f>
        <v>1.1585352230145618</v>
      </c>
      <c r="F8" s="109"/>
      <c r="G8" s="109"/>
      <c r="H8" s="109"/>
      <c r="I8" s="28"/>
    </row>
    <row r="9" spans="1:9" ht="15.75">
      <c r="A9" s="110">
        <f>+A10-1</f>
        <v>1999</v>
      </c>
      <c r="B9" s="114">
        <f>'Slide 11'!C11/'Slide 11'!B11</f>
        <v>1.2131825908660756</v>
      </c>
      <c r="C9" s="114">
        <f>'Slide 11'!D11/'Slide 11'!C11</f>
        <v>1.4064956895961518</v>
      </c>
      <c r="D9" s="114">
        <f>'Slide 11'!E11/'Slide 11'!D11</f>
        <v>1.300501054100152</v>
      </c>
      <c r="E9" s="109"/>
      <c r="F9" s="109"/>
      <c r="G9" s="109"/>
      <c r="H9" s="109"/>
      <c r="I9" s="28"/>
    </row>
    <row r="10" spans="1:9" ht="15.75">
      <c r="A10" s="110">
        <f>+A11-1</f>
        <v>2000</v>
      </c>
      <c r="B10" s="114">
        <f>'Slide 11'!C12/'Slide 11'!B12</f>
        <v>1.2610735979454328</v>
      </c>
      <c r="C10" s="114">
        <f>'Slide 11'!D12/'Slide 11'!C12</f>
        <v>1.4422205830123216</v>
      </c>
      <c r="D10" s="109"/>
      <c r="E10" s="109"/>
      <c r="F10" s="109"/>
      <c r="G10" s="109"/>
      <c r="H10" s="109"/>
      <c r="I10" s="28"/>
    </row>
    <row r="11" spans="1:9" ht="15.75">
      <c r="A11" s="110">
        <f>curryr-1</f>
        <v>2001</v>
      </c>
      <c r="B11" s="114">
        <f>'Slide 11'!C13/'Slide 11'!B13</f>
        <v>1.1930216165413534</v>
      </c>
      <c r="C11" s="109"/>
      <c r="D11" s="109"/>
      <c r="E11" s="109"/>
      <c r="F11" s="109"/>
      <c r="G11" s="109"/>
      <c r="H11" s="109"/>
      <c r="I11" s="28"/>
    </row>
    <row r="12" spans="1:9" ht="15.75">
      <c r="A12" s="109"/>
      <c r="B12" s="109"/>
      <c r="C12" s="109"/>
      <c r="D12" s="109"/>
      <c r="E12" s="109"/>
      <c r="F12" s="109"/>
      <c r="G12" s="109"/>
      <c r="H12" s="109"/>
      <c r="I12" s="28"/>
    </row>
    <row r="13" spans="1:9" ht="15.75">
      <c r="A13" s="115" t="s">
        <v>109</v>
      </c>
      <c r="B13" s="37">
        <f>AVERAGE(B6:B11)</f>
        <v>1.2580774078306096</v>
      </c>
      <c r="C13" s="37">
        <f>AVERAGE(C6:C10)</f>
        <v>1.3952207557272476</v>
      </c>
      <c r="D13" s="37">
        <f>AVERAGE(D6:D9)</f>
        <v>1.2908098254085814</v>
      </c>
      <c r="E13" s="37">
        <f>AVERAGE(E6:E8)</f>
        <v>1.1689751405590971</v>
      </c>
      <c r="F13" s="37">
        <f>AVERAGE(F6:F7)</f>
        <v>1.0963611525687993</v>
      </c>
      <c r="G13" s="37">
        <f>G6</f>
        <v>1.068167719285182</v>
      </c>
      <c r="H13" s="109"/>
      <c r="I13" s="28"/>
    </row>
    <row r="14" spans="1:9" ht="15.75">
      <c r="A14" s="115" t="s">
        <v>110</v>
      </c>
      <c r="B14" s="37">
        <f>AVERAGE(B8:B11)</f>
        <v>1.2366324307069139</v>
      </c>
      <c r="C14" s="37">
        <f>AVERAGE(C7:C10)</f>
        <v>1.3925124119831986</v>
      </c>
      <c r="D14" s="37">
        <f>AVERAGE(D6:D9)</f>
        <v>1.2908098254085814</v>
      </c>
      <c r="E14" s="109"/>
      <c r="F14" s="109"/>
      <c r="G14" s="109"/>
      <c r="H14" s="109"/>
      <c r="I14" s="28"/>
    </row>
    <row r="15" spans="1:9" ht="15.75">
      <c r="A15" s="115" t="s">
        <v>116</v>
      </c>
      <c r="B15" s="37">
        <f>(SUM(B6:B11)-MAX(B6:B11)-MIN(B6:B11))/4</f>
        <v>1.260947476261205</v>
      </c>
      <c r="C15" s="37">
        <f>(SUM(C6:C11)-MAX(C6:C11)-MIN(C6:C11))/3</f>
        <v>1.3931098006689524</v>
      </c>
      <c r="D15" s="37">
        <f>(SUM(D6:D11)-MAX(D6:D11)-MIN(D6:D11))/2</f>
        <v>1.2946883441445252</v>
      </c>
      <c r="E15" s="38"/>
      <c r="F15" s="38"/>
      <c r="G15" s="38"/>
      <c r="H15" s="109"/>
      <c r="I15" s="28"/>
    </row>
    <row r="16" spans="1:9" ht="15.75">
      <c r="A16" s="115"/>
      <c r="B16" s="37"/>
      <c r="C16" s="37"/>
      <c r="D16" s="37"/>
      <c r="E16" s="38"/>
      <c r="F16" s="38"/>
      <c r="G16" s="38"/>
      <c r="H16" s="109"/>
      <c r="I16" s="28"/>
    </row>
    <row r="17" spans="1:9" ht="15.75">
      <c r="A17" s="115" t="s">
        <v>111</v>
      </c>
      <c r="B17" s="114">
        <f>B14</f>
        <v>1.2366324307069139</v>
      </c>
      <c r="C17" s="114">
        <f>C14</f>
        <v>1.3925124119831986</v>
      </c>
      <c r="D17" s="114">
        <f>D14</f>
        <v>1.2908098254085814</v>
      </c>
      <c r="E17" s="114">
        <f>E13</f>
        <v>1.1689751405590971</v>
      </c>
      <c r="F17" s="114">
        <f>F13</f>
        <v>1.0963611525687993</v>
      </c>
      <c r="G17" s="114">
        <f>G13</f>
        <v>1.068167719285182</v>
      </c>
      <c r="H17" s="114">
        <f>G17</f>
        <v>1.068167719285182</v>
      </c>
      <c r="I17" s="28"/>
    </row>
    <row r="18" spans="1:9" ht="15.75">
      <c r="A18" s="115" t="s">
        <v>112</v>
      </c>
      <c r="B18" s="110" t="s">
        <v>60</v>
      </c>
      <c r="C18" s="110" t="s">
        <v>58</v>
      </c>
      <c r="D18" s="110" t="s">
        <v>57</v>
      </c>
      <c r="E18" s="110" t="s">
        <v>55</v>
      </c>
      <c r="F18" s="110" t="s">
        <v>54</v>
      </c>
      <c r="G18" s="110" t="s">
        <v>53</v>
      </c>
      <c r="H18" s="110" t="s">
        <v>52</v>
      </c>
      <c r="I18" s="28"/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</sheetData>
  <printOptions/>
  <pageMargins left="1" right="1" top="1.2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8.6640625" style="2" customWidth="1"/>
    <col min="2" max="2" width="10.5546875" style="2" customWidth="1"/>
    <col min="3" max="3" width="7.3359375" style="2" customWidth="1"/>
    <col min="4" max="4" width="9.88671875" style="2" customWidth="1"/>
    <col min="5" max="5" width="8.3359375" style="2" customWidth="1"/>
    <col min="6" max="6" width="9.77734375" style="2" customWidth="1"/>
    <col min="7" max="7" width="8.5546875" style="2" customWidth="1"/>
    <col min="8" max="8" width="8.88671875" style="2" bestFit="1" customWidth="1"/>
    <col min="9" max="16384" width="7.10546875" style="2" customWidth="1"/>
  </cols>
  <sheetData>
    <row r="1" spans="1:9" ht="15.75">
      <c r="A1" s="97" t="s">
        <v>138</v>
      </c>
      <c r="B1" s="98"/>
      <c r="C1" s="98"/>
      <c r="D1" s="98"/>
      <c r="E1" s="98"/>
      <c r="F1" s="98"/>
      <c r="G1" s="98"/>
      <c r="H1" s="98"/>
      <c r="I1" s="28"/>
    </row>
    <row r="2" spans="1:9" ht="15">
      <c r="A2" s="87" t="s">
        <v>213</v>
      </c>
      <c r="B2" s="88"/>
      <c r="C2" s="88"/>
      <c r="D2" s="88"/>
      <c r="E2" s="27"/>
      <c r="F2" s="27"/>
      <c r="G2" s="27"/>
      <c r="H2" s="27"/>
      <c r="I2" s="28"/>
    </row>
    <row r="3" spans="1:9" ht="15">
      <c r="A3" s="26"/>
      <c r="B3" s="27"/>
      <c r="C3" s="27"/>
      <c r="D3" s="27"/>
      <c r="E3" s="27"/>
      <c r="F3" s="27"/>
      <c r="G3" s="27"/>
      <c r="H3" s="27"/>
      <c r="I3" s="28"/>
    </row>
    <row r="4" spans="1:9" ht="15">
      <c r="A4" s="32"/>
      <c r="B4" s="32"/>
      <c r="C4" s="32"/>
      <c r="D4" s="29" t="s">
        <v>31</v>
      </c>
      <c r="E4" s="32"/>
      <c r="F4" s="32"/>
      <c r="G4" s="29" t="s">
        <v>32</v>
      </c>
      <c r="H4" s="29" t="s">
        <v>33</v>
      </c>
      <c r="I4" s="28"/>
    </row>
    <row r="5" spans="1:9" ht="15">
      <c r="A5" s="29" t="s">
        <v>34</v>
      </c>
      <c r="B5" s="29" t="s">
        <v>35</v>
      </c>
      <c r="C5" s="29" t="s">
        <v>36</v>
      </c>
      <c r="D5" s="29" t="s">
        <v>37</v>
      </c>
      <c r="E5" s="29" t="s">
        <v>38</v>
      </c>
      <c r="F5" s="29" t="s">
        <v>38</v>
      </c>
      <c r="G5" s="29" t="s">
        <v>134</v>
      </c>
      <c r="H5" s="29" t="s">
        <v>134</v>
      </c>
      <c r="I5" s="28"/>
    </row>
    <row r="6" spans="1:9" ht="15">
      <c r="A6" s="33" t="s">
        <v>39</v>
      </c>
      <c r="B6" s="33" t="s">
        <v>40</v>
      </c>
      <c r="C6" s="33" t="s">
        <v>41</v>
      </c>
      <c r="D6" s="33" t="s">
        <v>35</v>
      </c>
      <c r="E6" s="33" t="s">
        <v>42</v>
      </c>
      <c r="F6" s="33" t="s">
        <v>134</v>
      </c>
      <c r="G6" s="33" t="s">
        <v>40</v>
      </c>
      <c r="H6" s="33" t="s">
        <v>43</v>
      </c>
      <c r="I6" s="28"/>
    </row>
    <row r="7" spans="1:9" ht="15">
      <c r="A7" s="29" t="s">
        <v>44</v>
      </c>
      <c r="B7" s="29" t="s">
        <v>45</v>
      </c>
      <c r="C7" s="29" t="s">
        <v>46</v>
      </c>
      <c r="D7" s="29" t="s">
        <v>47</v>
      </c>
      <c r="E7" s="29" t="s">
        <v>48</v>
      </c>
      <c r="F7" s="29" t="s">
        <v>49</v>
      </c>
      <c r="G7" s="29" t="s">
        <v>50</v>
      </c>
      <c r="H7" s="29" t="s">
        <v>51</v>
      </c>
      <c r="I7" s="28"/>
    </row>
    <row r="8" spans="1:9" ht="15">
      <c r="A8" s="32"/>
      <c r="B8" s="117" t="s">
        <v>130</v>
      </c>
      <c r="C8" s="117" t="s">
        <v>198</v>
      </c>
      <c r="D8" s="117" t="s">
        <v>127</v>
      </c>
      <c r="E8" s="117"/>
      <c r="F8" s="117" t="s">
        <v>128</v>
      </c>
      <c r="G8" s="117" t="s">
        <v>200</v>
      </c>
      <c r="H8" s="117" t="s">
        <v>131</v>
      </c>
      <c r="I8" s="28"/>
    </row>
    <row r="9" spans="1:9" ht="15">
      <c r="A9" s="32"/>
      <c r="B9" s="117"/>
      <c r="C9" s="117"/>
      <c r="D9" s="117"/>
      <c r="E9" s="117"/>
      <c r="F9" s="117"/>
      <c r="G9" s="117"/>
      <c r="H9" s="117"/>
      <c r="I9" s="28"/>
    </row>
    <row r="10" spans="1:9" ht="15">
      <c r="A10" s="29">
        <f aca="true" t="shared" si="0" ref="A10:A15">+A11-1</f>
        <v>1996</v>
      </c>
      <c r="B10" s="37">
        <f>'Slide 11'!H8</f>
        <v>0.06937186187109334</v>
      </c>
      <c r="C10" s="37" t="str">
        <f>'Slide 12'!H18</f>
        <v>1.068</v>
      </c>
      <c r="D10" s="37">
        <f>ROUND(B10*C10,3)</f>
        <v>0.074</v>
      </c>
      <c r="E10" s="93">
        <v>10292</v>
      </c>
      <c r="F10" s="93">
        <f>D10*E10</f>
        <v>761.608</v>
      </c>
      <c r="G10" s="93">
        <f>'Slide 10'!H6</f>
        <v>677</v>
      </c>
      <c r="H10" s="93">
        <f>F10-G10</f>
        <v>84.60799999999995</v>
      </c>
      <c r="I10" s="28"/>
    </row>
    <row r="11" spans="1:9" ht="15">
      <c r="A11" s="29">
        <f t="shared" si="0"/>
        <v>1997</v>
      </c>
      <c r="B11" s="37">
        <f>'Slide 11'!G9</f>
        <v>0.06395127521888085</v>
      </c>
      <c r="C11" s="37" t="str">
        <f>'Slide 12'!G18</f>
        <v>1.141</v>
      </c>
      <c r="D11" s="37">
        <f aca="true" t="shared" si="1" ref="D11:D16">ROUND(B11*C11,3)</f>
        <v>0.073</v>
      </c>
      <c r="E11" s="93">
        <v>11261</v>
      </c>
      <c r="F11" s="93">
        <f aca="true" t="shared" si="2" ref="F11:F16">D11*E11</f>
        <v>822.053</v>
      </c>
      <c r="G11" s="93">
        <f>'Slide 10'!G7</f>
        <v>672</v>
      </c>
      <c r="H11" s="93">
        <f aca="true" t="shared" si="3" ref="H11:H16">F11-G11</f>
        <v>150.053</v>
      </c>
      <c r="I11" s="28"/>
    </row>
    <row r="12" spans="1:9" ht="15">
      <c r="A12" s="29">
        <f t="shared" si="0"/>
        <v>1998</v>
      </c>
      <c r="B12" s="37">
        <f>'Slide 11'!F10</f>
        <v>0.05695214979195562</v>
      </c>
      <c r="C12" s="37" t="str">
        <f>'Slide 12'!F18</f>
        <v>1.251</v>
      </c>
      <c r="D12" s="37">
        <f t="shared" si="1"/>
        <v>0.071</v>
      </c>
      <c r="E12" s="93">
        <v>12751</v>
      </c>
      <c r="F12" s="93">
        <f t="shared" si="2"/>
        <v>905.3209999999999</v>
      </c>
      <c r="G12" s="93">
        <f>'Slide 10'!F8</f>
        <v>657</v>
      </c>
      <c r="H12" s="93">
        <f t="shared" si="3"/>
        <v>248.3209999999999</v>
      </c>
      <c r="I12" s="28"/>
    </row>
    <row r="13" spans="1:9" ht="15">
      <c r="A13" s="29">
        <f t="shared" si="0"/>
        <v>1999</v>
      </c>
      <c r="B13" s="37">
        <f>'Slide 11'!E11</f>
        <v>0.04663669930968053</v>
      </c>
      <c r="C13" s="37" t="str">
        <f>'Slide 12'!E18</f>
        <v>1.462</v>
      </c>
      <c r="D13" s="37">
        <f t="shared" si="1"/>
        <v>0.068</v>
      </c>
      <c r="E13" s="93">
        <v>14500</v>
      </c>
      <c r="F13" s="93">
        <f t="shared" si="2"/>
        <v>986.0000000000001</v>
      </c>
      <c r="G13" s="93">
        <f>'Slide 10'!E9</f>
        <v>581</v>
      </c>
      <c r="H13" s="93">
        <f t="shared" si="3"/>
        <v>405.0000000000001</v>
      </c>
      <c r="I13" s="28"/>
    </row>
    <row r="14" spans="1:9" ht="15">
      <c r="A14" s="29">
        <f t="shared" si="0"/>
        <v>2000</v>
      </c>
      <c r="B14" s="37">
        <f>'Slide 11'!D12</f>
        <v>0.03441215843767226</v>
      </c>
      <c r="C14" s="37" t="str">
        <f>'Slide 12'!D18</f>
        <v>1.887</v>
      </c>
      <c r="D14" s="37">
        <f t="shared" si="1"/>
        <v>0.065</v>
      </c>
      <c r="E14" s="93">
        <v>16326</v>
      </c>
      <c r="F14" s="93">
        <f t="shared" si="2"/>
        <v>1061.19</v>
      </c>
      <c r="G14" s="93">
        <f>'Slide 10'!D10</f>
        <v>437</v>
      </c>
      <c r="H14" s="93">
        <f t="shared" si="3"/>
        <v>624.19</v>
      </c>
      <c r="I14" s="28"/>
    </row>
    <row r="15" spans="1:14" ht="15">
      <c r="A15" s="29">
        <f t="shared" si="0"/>
        <v>2001</v>
      </c>
      <c r="B15" s="37">
        <f>'Slide 11'!C13</f>
        <v>0.02506265664160401</v>
      </c>
      <c r="C15" s="37" t="str">
        <f>'Slide 12'!C18</f>
        <v>2.629</v>
      </c>
      <c r="D15" s="37">
        <f t="shared" si="1"/>
        <v>0.066</v>
      </c>
      <c r="E15" s="93">
        <v>17641</v>
      </c>
      <c r="F15" s="93">
        <f t="shared" si="2"/>
        <v>1164.306</v>
      </c>
      <c r="G15" s="93">
        <f>'Slide 10'!C11</f>
        <v>280</v>
      </c>
      <c r="H15" s="93">
        <f t="shared" si="3"/>
        <v>884.306</v>
      </c>
      <c r="I15" s="28"/>
      <c r="L15" s="256">
        <f>SUM(F10:F16)</f>
        <v>6984.870000000001</v>
      </c>
      <c r="M15" s="256">
        <f>SUM(G10:G16)</f>
        <v>3436</v>
      </c>
      <c r="N15" s="256">
        <f>SUM(H10:H16)</f>
        <v>3548.87</v>
      </c>
    </row>
    <row r="16" spans="1:9" ht="15">
      <c r="A16" s="29">
        <f>curryr</f>
        <v>2002</v>
      </c>
      <c r="B16" s="37">
        <f>'Slide 11'!B14</f>
        <v>0.018960068945705257</v>
      </c>
      <c r="C16" s="37" t="str">
        <f>'Slide 12'!B18</f>
        <v>3.252</v>
      </c>
      <c r="D16" s="37">
        <f t="shared" si="1"/>
        <v>0.062</v>
      </c>
      <c r="E16" s="95">
        <v>20716</v>
      </c>
      <c r="F16" s="95">
        <f t="shared" si="2"/>
        <v>1284.392</v>
      </c>
      <c r="G16" s="95">
        <f>'Slide 10'!B12</f>
        <v>132</v>
      </c>
      <c r="H16" s="95">
        <f t="shared" si="3"/>
        <v>1152.392</v>
      </c>
      <c r="I16" s="28"/>
    </row>
    <row r="17" spans="1:9" ht="15">
      <c r="A17" s="32"/>
      <c r="B17" s="32"/>
      <c r="C17" s="32"/>
      <c r="D17" s="32"/>
      <c r="E17" s="32"/>
      <c r="F17" s="32"/>
      <c r="G17" s="32"/>
      <c r="H17" s="32"/>
      <c r="I17" s="28"/>
    </row>
    <row r="18" spans="1:9" ht="15">
      <c r="A18" s="31" t="s">
        <v>63</v>
      </c>
      <c r="B18" s="32"/>
      <c r="C18" s="32"/>
      <c r="D18" s="32"/>
      <c r="E18" s="93">
        <f>SUM(E10:E16)</f>
        <v>103487</v>
      </c>
      <c r="F18" s="93">
        <f>SUM(F10:F16)</f>
        <v>6984.870000000001</v>
      </c>
      <c r="G18" s="93">
        <f>SUM(G10:G16)</f>
        <v>3436</v>
      </c>
      <c r="H18" s="93">
        <f>SUM(H10:H16)</f>
        <v>3548.87</v>
      </c>
      <c r="I18" s="28"/>
    </row>
    <row r="19" spans="1:9" ht="15">
      <c r="A19" s="32"/>
      <c r="B19" s="32"/>
      <c r="C19" s="32"/>
      <c r="D19" s="32"/>
      <c r="E19" s="32"/>
      <c r="F19" s="32"/>
      <c r="G19" s="32"/>
      <c r="H19" s="32"/>
      <c r="I19" s="28"/>
    </row>
    <row r="20" spans="1:8" ht="15.75">
      <c r="A20" s="3"/>
      <c r="B20" s="5"/>
      <c r="C20" s="4"/>
      <c r="D20" s="3"/>
      <c r="E20" s="3"/>
      <c r="F20" s="3"/>
      <c r="G20" s="3"/>
      <c r="H20" s="3"/>
    </row>
    <row r="21" spans="1:8" ht="15">
      <c r="A21" s="3"/>
      <c r="B21" s="3"/>
      <c r="C21" s="4"/>
      <c r="D21" s="3"/>
      <c r="E21" s="3"/>
      <c r="F21" s="3"/>
      <c r="G21" s="3"/>
      <c r="H21" s="3"/>
    </row>
    <row r="22" spans="1:8" ht="15">
      <c r="A22" s="3"/>
      <c r="B22" s="3"/>
      <c r="C22" s="4"/>
      <c r="D22" s="3"/>
      <c r="E22" s="3"/>
      <c r="F22" s="3"/>
      <c r="G22" s="3"/>
      <c r="H22" s="3"/>
    </row>
    <row r="27" ht="12.75">
      <c r="F27" s="116" t="s">
        <v>199</v>
      </c>
    </row>
  </sheetData>
  <printOptions/>
  <pageMargins left="1" right="1" top="1.25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75" zoomScaleNormal="75" workbookViewId="0" topLeftCell="A1">
      <selection activeCell="A1" sqref="A1"/>
    </sheetView>
  </sheetViews>
  <sheetFormatPr defaultColWidth="8.88671875" defaultRowHeight="15.75"/>
  <cols>
    <col min="1" max="1" width="9.3359375" style="2" customWidth="1"/>
    <col min="2" max="2" width="6.5546875" style="2" customWidth="1"/>
    <col min="3" max="3" width="9.3359375" style="2" customWidth="1"/>
    <col min="4" max="4" width="6.5546875" style="2" customWidth="1"/>
    <col min="5" max="5" width="9.3359375" style="2" customWidth="1"/>
    <col min="6" max="6" width="6.5546875" style="2" customWidth="1"/>
    <col min="7" max="7" width="9.3359375" style="2" customWidth="1"/>
    <col min="8" max="16384" width="7.10546875" style="2" customWidth="1"/>
  </cols>
  <sheetData>
    <row r="1" spans="1:8" ht="20.25">
      <c r="A1" s="118" t="s">
        <v>16</v>
      </c>
      <c r="B1" s="98"/>
      <c r="C1" s="100"/>
      <c r="D1" s="100"/>
      <c r="E1" s="100"/>
      <c r="F1" s="100"/>
      <c r="G1" s="27"/>
      <c r="H1" s="28"/>
    </row>
    <row r="2" spans="1:8" ht="15">
      <c r="A2" s="32"/>
      <c r="B2" s="32"/>
      <c r="C2" s="32"/>
      <c r="D2" s="32"/>
      <c r="E2" s="32"/>
      <c r="F2" s="32"/>
      <c r="G2" s="32"/>
      <c r="H2" s="28"/>
    </row>
    <row r="3" spans="1:8" ht="18">
      <c r="A3" s="119" t="s">
        <v>90</v>
      </c>
      <c r="B3" s="120"/>
      <c r="C3" s="27"/>
      <c r="D3" s="27"/>
      <c r="E3" s="27"/>
      <c r="F3" s="27"/>
      <c r="G3" s="27"/>
      <c r="H3" s="28"/>
    </row>
    <row r="4" spans="1:8" ht="15">
      <c r="A4" s="26" t="s">
        <v>191</v>
      </c>
      <c r="B4" s="27"/>
      <c r="C4" s="27"/>
      <c r="D4" s="27"/>
      <c r="E4" s="27"/>
      <c r="F4" s="27"/>
      <c r="G4" s="27"/>
      <c r="H4" s="28"/>
    </row>
    <row r="5" spans="1:8" ht="15">
      <c r="A5" s="32"/>
      <c r="B5" s="32"/>
      <c r="C5" s="32"/>
      <c r="D5" s="32"/>
      <c r="E5" s="32"/>
      <c r="F5" s="32"/>
      <c r="G5" s="32"/>
      <c r="H5" s="28"/>
    </row>
    <row r="6" spans="1:8" ht="18">
      <c r="A6" s="121" t="s">
        <v>91</v>
      </c>
      <c r="B6" s="122"/>
      <c r="C6" s="121" t="s">
        <v>32</v>
      </c>
      <c r="D6" s="122"/>
      <c r="E6" s="121" t="s">
        <v>32</v>
      </c>
      <c r="F6" s="122"/>
      <c r="G6" s="121"/>
      <c r="H6" s="28"/>
    </row>
    <row r="7" spans="1:8" ht="18">
      <c r="A7" s="123" t="s">
        <v>39</v>
      </c>
      <c r="B7" s="122"/>
      <c r="C7" s="123" t="s">
        <v>139</v>
      </c>
      <c r="D7" s="122"/>
      <c r="E7" s="123" t="s">
        <v>42</v>
      </c>
      <c r="F7" s="122"/>
      <c r="G7" s="123" t="s">
        <v>35</v>
      </c>
      <c r="H7" s="28"/>
    </row>
    <row r="8" spans="1:8" ht="18">
      <c r="A8" s="121" t="s">
        <v>44</v>
      </c>
      <c r="B8" s="122"/>
      <c r="C8" s="121" t="s">
        <v>45</v>
      </c>
      <c r="D8" s="122"/>
      <c r="E8" s="121" t="s">
        <v>92</v>
      </c>
      <c r="F8" s="122"/>
      <c r="G8" s="121" t="s">
        <v>93</v>
      </c>
      <c r="H8" s="28"/>
    </row>
    <row r="9" spans="1:8" ht="18">
      <c r="A9" s="121"/>
      <c r="B9" s="122"/>
      <c r="C9" s="121"/>
      <c r="D9" s="122"/>
      <c r="E9" s="121"/>
      <c r="F9" s="122"/>
      <c r="G9" s="124" t="s">
        <v>202</v>
      </c>
      <c r="H9" s="28"/>
    </row>
    <row r="10" spans="1:8" ht="18">
      <c r="A10" s="122"/>
      <c r="B10" s="122"/>
      <c r="C10" s="122"/>
      <c r="D10" s="122"/>
      <c r="E10" s="122"/>
      <c r="F10" s="122"/>
      <c r="G10" s="122"/>
      <c r="H10" s="28"/>
    </row>
    <row r="11" spans="1:8" ht="18">
      <c r="A11" s="121">
        <f>+A13-1</f>
        <v>2000</v>
      </c>
      <c r="B11" s="122"/>
      <c r="C11" s="125">
        <v>1038</v>
      </c>
      <c r="D11" s="122"/>
      <c r="E11" s="125">
        <v>14107</v>
      </c>
      <c r="F11" s="122"/>
      <c r="G11" s="126">
        <f>C11/E11</f>
        <v>0.0735804919543489</v>
      </c>
      <c r="H11" s="28"/>
    </row>
    <row r="12" spans="1:8" ht="18">
      <c r="A12" s="122"/>
      <c r="B12" s="122"/>
      <c r="C12" s="122"/>
      <c r="D12" s="122"/>
      <c r="E12" s="122"/>
      <c r="F12" s="122"/>
      <c r="G12" s="127"/>
      <c r="H12" s="28"/>
    </row>
    <row r="13" spans="1:8" ht="18">
      <c r="A13" s="121">
        <f>+A15-1</f>
        <v>2001</v>
      </c>
      <c r="B13" s="122"/>
      <c r="C13" s="125">
        <v>1244</v>
      </c>
      <c r="D13" s="122"/>
      <c r="E13" s="125">
        <v>15906</v>
      </c>
      <c r="F13" s="122"/>
      <c r="G13" s="126">
        <f>C13/E13</f>
        <v>0.07820948069910726</v>
      </c>
      <c r="H13" s="28"/>
    </row>
    <row r="14" spans="1:8" ht="18">
      <c r="A14" s="122"/>
      <c r="B14" s="122"/>
      <c r="C14" s="128"/>
      <c r="D14" s="122"/>
      <c r="E14" s="128"/>
      <c r="F14" s="122"/>
      <c r="G14" s="127"/>
      <c r="H14" s="28"/>
    </row>
    <row r="15" spans="1:8" ht="18">
      <c r="A15" s="123">
        <f>curryr</f>
        <v>2002</v>
      </c>
      <c r="B15" s="122"/>
      <c r="C15" s="129">
        <v>1459</v>
      </c>
      <c r="D15" s="122"/>
      <c r="E15" s="129">
        <v>17709</v>
      </c>
      <c r="F15" s="122"/>
      <c r="G15" s="130">
        <f>C15/E15</f>
        <v>0.08238748658874019</v>
      </c>
      <c r="H15" s="28"/>
    </row>
    <row r="16" spans="1:8" ht="18">
      <c r="A16" s="122"/>
      <c r="B16" s="122"/>
      <c r="C16" s="122"/>
      <c r="D16" s="122"/>
      <c r="E16" s="122"/>
      <c r="F16" s="122"/>
      <c r="G16" s="127"/>
      <c r="H16" s="28"/>
    </row>
    <row r="17" spans="1:8" ht="18">
      <c r="A17" s="131" t="s">
        <v>150</v>
      </c>
      <c r="B17" s="122"/>
      <c r="C17" s="125">
        <f>SUM(C11:C15)</f>
        <v>3741</v>
      </c>
      <c r="D17" s="122"/>
      <c r="E17" s="125">
        <f>SUM(E11:E15)</f>
        <v>47722</v>
      </c>
      <c r="F17" s="122"/>
      <c r="G17" s="126">
        <f>C17/E17</f>
        <v>0.07839151753908051</v>
      </c>
      <c r="H17" s="28"/>
    </row>
    <row r="18" spans="1:8" ht="12.75">
      <c r="A18" s="28"/>
      <c r="B18" s="28"/>
      <c r="C18" s="28"/>
      <c r="D18" s="28"/>
      <c r="E18" s="28"/>
      <c r="F18" s="28"/>
      <c r="G18" s="28"/>
      <c r="H18" s="28"/>
    </row>
    <row r="19" spans="1:8" ht="12.75">
      <c r="A19" s="28"/>
      <c r="B19" s="28"/>
      <c r="C19" s="28"/>
      <c r="D19" s="28"/>
      <c r="E19" s="28"/>
      <c r="F19" s="28"/>
      <c r="G19" s="28"/>
      <c r="H19" s="28"/>
    </row>
  </sheetData>
  <printOptions/>
  <pageMargins left="1" right="1" top="1.2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J. Marcks</cp:lastModifiedBy>
  <cp:lastPrinted>2003-08-13T13:25:41Z</cp:lastPrinted>
  <dcterms:created xsi:type="dcterms:W3CDTF">2000-07-02T18:23:15Z</dcterms:created>
  <dcterms:modified xsi:type="dcterms:W3CDTF">2002-06-17T16:54:17Z</dcterms:modified>
  <cp:category/>
  <cp:version/>
  <cp:contentType/>
  <cp:contentStatus/>
</cp:coreProperties>
</file>