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6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tabRatio="598" firstSheet="26" activeTab="26"/>
  </bookViews>
  <sheets>
    <sheet name="input" sheetId="1" r:id="rId1"/>
    <sheet name="23" sheetId="2" r:id="rId2"/>
    <sheet name="24" sheetId="3" r:id="rId3"/>
    <sheet name="25" sheetId="4" r:id="rId4"/>
    <sheet name="26" sheetId="5" r:id="rId5"/>
    <sheet name="unused1" sheetId="6" r:id="rId6"/>
    <sheet name="27" sheetId="7" r:id="rId7"/>
    <sheet name="28" sheetId="8" r:id="rId8"/>
    <sheet name="29" sheetId="9" r:id="rId9"/>
    <sheet name="31" sheetId="10" r:id="rId10"/>
    <sheet name="32" sheetId="11" r:id="rId11"/>
    <sheet name="33" sheetId="12" r:id="rId12"/>
    <sheet name="2-3" sheetId="13" r:id="rId13"/>
    <sheet name="unused2" sheetId="14" r:id="rId14"/>
    <sheet name="2-7" sheetId="15" r:id="rId15"/>
    <sheet name="2-7B" sheetId="16" r:id="rId16"/>
    <sheet name="2-10" sheetId="17" r:id="rId17"/>
    <sheet name="2-11" sheetId="18" r:id="rId18"/>
    <sheet name="2-12" sheetId="19" r:id="rId19"/>
    <sheet name="2-14" sheetId="20" r:id="rId20"/>
    <sheet name="2-15" sheetId="21" r:id="rId21"/>
    <sheet name="2-16" sheetId="22" r:id="rId22"/>
    <sheet name="2-17" sheetId="23" r:id="rId23"/>
    <sheet name="2-18" sheetId="24" r:id="rId24"/>
    <sheet name="2-19" sheetId="25" r:id="rId25"/>
    <sheet name="unused3" sheetId="26" r:id="rId26"/>
    <sheet name="2-22" sheetId="27" r:id="rId27"/>
    <sheet name="2-23" sheetId="28" r:id="rId28"/>
    <sheet name="2-23B" sheetId="29" r:id="rId29"/>
    <sheet name="2-24" sheetId="30" r:id="rId30"/>
    <sheet name="2-25" sheetId="31" r:id="rId31"/>
    <sheet name="2-26" sheetId="32" r:id="rId32"/>
    <sheet name="2-26B" sheetId="33" r:id="rId33"/>
    <sheet name="2-28" sheetId="34" r:id="rId34"/>
    <sheet name="2-29" sheetId="35" r:id="rId35"/>
    <sheet name="2-30" sheetId="36" r:id="rId36"/>
    <sheet name="2-31" sheetId="37" r:id="rId37"/>
  </sheets>
  <definedNames>
    <definedName name="curreval">'input'!$C$3</definedName>
    <definedName name="curryr">'input'!$C$1</definedName>
    <definedName name="_xlnm.Print_Area" localSheetId="16">'2-10'!$A$2:$H$20</definedName>
    <definedName name="_xlnm.Print_Area" localSheetId="14">'2-7'!$A$1:$E$34</definedName>
  </definedNames>
  <calcPr fullCalcOnLoad="1"/>
</workbook>
</file>

<file path=xl/sharedStrings.xml><?xml version="1.0" encoding="utf-8"?>
<sst xmlns="http://schemas.openxmlformats.org/spreadsheetml/2006/main" count="545" uniqueCount="177">
  <si>
    <t>Cumulative Paid Losses ($000 Omitted)</t>
  </si>
  <si>
    <t xml:space="preserve">Final </t>
  </si>
  <si>
    <t>Accident</t>
  </si>
  <si>
    <t>Development Stage in Months</t>
  </si>
  <si>
    <t>Total</t>
  </si>
  <si>
    <t>Year</t>
  </si>
  <si>
    <t>Cost</t>
  </si>
  <si>
    <t>???</t>
  </si>
  <si>
    <t>Evaluation Interval in Months</t>
  </si>
  <si>
    <t>72 to</t>
  </si>
  <si>
    <t>12-24</t>
  </si>
  <si>
    <t>24-36</t>
  </si>
  <si>
    <t>36-48</t>
  </si>
  <si>
    <t>48-60</t>
  </si>
  <si>
    <t>60-72</t>
  </si>
  <si>
    <t>Ultimate</t>
  </si>
  <si>
    <t>12-to-24 Months</t>
  </si>
  <si>
    <t>=</t>
  </si>
  <si>
    <t>7,541 / 4,212</t>
  </si>
  <si>
    <t>Simple Average - All Years</t>
  </si>
  <si>
    <t>Simple Average - Latest 3 Years</t>
  </si>
  <si>
    <t xml:space="preserve">XXX </t>
  </si>
  <si>
    <t>Simple Average - Excluding High &amp; Low</t>
  </si>
  <si>
    <t>Weighted Average - All Years</t>
  </si>
  <si>
    <t>At 24 Months:</t>
  </si>
  <si>
    <t>12,532 = 6,962 x 1.800</t>
  </si>
  <si>
    <t>At 36 Months:</t>
  </si>
  <si>
    <t>15,477 = 12,532 x 1.235</t>
  </si>
  <si>
    <t xml:space="preserve">or  </t>
  </si>
  <si>
    <t>Cumulative Development Factors</t>
  </si>
  <si>
    <t>12 to Ult</t>
  </si>
  <si>
    <t>24 to Ult</t>
  </si>
  <si>
    <t>36 to Ult</t>
  </si>
  <si>
    <t>48 to Ult</t>
  </si>
  <si>
    <t>60 to Ult</t>
  </si>
  <si>
    <t>72 to Ult</t>
  </si>
  <si>
    <t>Actual</t>
  </si>
  <si>
    <t>Cumulative</t>
  </si>
  <si>
    <t>Estimated</t>
  </si>
  <si>
    <t>Paid</t>
  </si>
  <si>
    <t>Selected</t>
  </si>
  <si>
    <t>Development</t>
  </si>
  <si>
    <t>Loss</t>
  </si>
  <si>
    <t xml:space="preserve">Accident </t>
  </si>
  <si>
    <t>Losses</t>
  </si>
  <si>
    <t>Factors to</t>
  </si>
  <si>
    <t>Reserves</t>
  </si>
  <si>
    <t>[(2) x (4)]</t>
  </si>
  <si>
    <t>{(5) - (6)}</t>
  </si>
  <si>
    <t>(1)</t>
  </si>
  <si>
    <t>(2)</t>
  </si>
  <si>
    <t>(3)</t>
  </si>
  <si>
    <t>(4)</t>
  </si>
  <si>
    <t>(5)</t>
  </si>
  <si>
    <t>(6)</t>
  </si>
  <si>
    <t>(7)</t>
  </si>
  <si>
    <t>Case Reserves ($000 Omitted)</t>
  </si>
  <si>
    <t>Cumulative Reported Losses* ($000 Omitted)</t>
  </si>
  <si>
    <t>Final</t>
  </si>
  <si>
    <t>* = paid losses + case reserves</t>
  </si>
  <si>
    <t>Selected Cumulative Development factors to Ultimate</t>
  </si>
  <si>
    <t>Reported</t>
  </si>
  <si>
    <t>[(2) x (3)]</t>
  </si>
  <si>
    <t>{(4) - (5)}</t>
  </si>
  <si>
    <t>Estimated Ultimate Losses Based on:</t>
  </si>
  <si>
    <t>Incurred</t>
  </si>
  <si>
    <t>Average =</t>
  </si>
  <si>
    <t>LDM</t>
  </si>
  <si>
    <t>Paid Method</t>
  </si>
  <si>
    <t>Incurred Method</t>
  </si>
  <si>
    <t>Average</t>
  </si>
  <si>
    <t>Estimated Loss Reserves Based on:</t>
  </si>
  <si>
    <t>Accident Year</t>
  </si>
  <si>
    <t>Case</t>
  </si>
  <si>
    <t>IBNR</t>
  </si>
  <si>
    <t>Cumulative Number of Claims Reported *</t>
  </si>
  <si>
    <t xml:space="preserve">    company to company. Some companies count claims as </t>
  </si>
  <si>
    <t xml:space="preserve">    one per claimant when more than one claim is involved</t>
  </si>
  <si>
    <t xml:space="preserve">    in an incident. Some companies remove claims that close</t>
  </si>
  <si>
    <t xml:space="preserve">    without payment. We assume that Typical P&amp;C Insurance</t>
  </si>
  <si>
    <t xml:space="preserve">    Company counts on a per claimant basis and includes</t>
  </si>
  <si>
    <t xml:space="preserve">    closed claims without payment.</t>
  </si>
  <si>
    <t>Selected  Development Factors to Ultimate</t>
  </si>
  <si>
    <t>Claims</t>
  </si>
  <si>
    <t>Unreported</t>
  </si>
  <si>
    <t>(4) - (2)</t>
  </si>
  <si>
    <t>Est. Ultimate Losses ($000)</t>
  </si>
  <si>
    <t>Indicated Loss Ratio</t>
  </si>
  <si>
    <t>Earned</t>
  </si>
  <si>
    <t>Using:</t>
  </si>
  <si>
    <t>Premium</t>
  </si>
  <si>
    <t>PLDM</t>
  </si>
  <si>
    <t>ILDM</t>
  </si>
  <si>
    <t>Paid LDM</t>
  </si>
  <si>
    <t>Incurred LDM</t>
  </si>
  <si>
    <t>Claim</t>
  </si>
  <si>
    <t>Frequency</t>
  </si>
  <si>
    <t>Count</t>
  </si>
  <si>
    <t>Exposures*</t>
  </si>
  <si>
    <t>(2) / (3)</t>
  </si>
  <si>
    <t>* Earned exposures are used to measure the underlying</t>
  </si>
  <si>
    <t>volume or units covered by insurance in each year. For</t>
  </si>
  <si>
    <t xml:space="preserve">automobile liability, exposures are typically measured by </t>
  </si>
  <si>
    <t>the number of cars insured for the year.</t>
  </si>
  <si>
    <t>Indicated Severity</t>
  </si>
  <si>
    <t xml:space="preserve">Claim </t>
  </si>
  <si>
    <t>(8)</t>
  </si>
  <si>
    <t>Values at 12 Months</t>
  </si>
  <si>
    <t>Pure</t>
  </si>
  <si>
    <t>Exposures</t>
  </si>
  <si>
    <t>Percentage</t>
  </si>
  <si>
    <t>('000's)</t>
  </si>
  <si>
    <t>[(2)/(1)]</t>
  </si>
  <si>
    <t>Change</t>
  </si>
  <si>
    <t>At 12 Months</t>
  </si>
  <si>
    <t>Additional to Ultimate</t>
  </si>
  <si>
    <t>Estimated Ultimate Values</t>
  </si>
  <si>
    <t>Change from</t>
  </si>
  <si>
    <t>Prior Year</t>
  </si>
  <si>
    <t xml:space="preserve">  Increases in average premium are primarily due to:</t>
  </si>
  <si>
    <t>- Changes in the mix of business</t>
  </si>
  <si>
    <t>- Rate changes</t>
  </si>
  <si>
    <t xml:space="preserve">  If the changes in average premium in the latest two years are due </t>
  </si>
  <si>
    <t xml:space="preserve">  to rate increases, then that would explain much of the</t>
  </si>
  <si>
    <t xml:space="preserve">  improvement in loss ratios.</t>
  </si>
  <si>
    <t xml:space="preserve">  If the changes are due to shifts in the mix of business, then the </t>
  </si>
  <si>
    <t xml:space="preserve">  improvement in the loss ratios may or may not be real. Further</t>
  </si>
  <si>
    <t xml:space="preserve">  investigation would be needed to understand what the shift was</t>
  </si>
  <si>
    <t xml:space="preserve">  and whether the different business types have varying loss</t>
  </si>
  <si>
    <t xml:space="preserve">  development characteristics.</t>
  </si>
  <si>
    <t>Ratio of Paid Losses to Reported Losses</t>
  </si>
  <si>
    <t>Average Reported Loss</t>
  </si>
  <si>
    <t xml:space="preserve">Cumulative Number of Claims Reported </t>
  </si>
  <si>
    <t>Counts</t>
  </si>
  <si>
    <t>Claim Frequency per 1.000 Insured Car Years</t>
  </si>
  <si>
    <t>%</t>
  </si>
  <si>
    <t>Est. Ultimate Severity</t>
  </si>
  <si>
    <t>Est. Change in Severity</t>
  </si>
  <si>
    <t>Number of Closed Claims by Development Age</t>
  </si>
  <si>
    <t>Percentage Closed to Est. Ultimate Number</t>
  </si>
  <si>
    <t xml:space="preserve">Example: </t>
  </si>
  <si>
    <t xml:space="preserve">  29% = 826 / 2,888</t>
  </si>
  <si>
    <t>Case Reserves ($000)</t>
  </si>
  <si>
    <t>Number of Open Claims</t>
  </si>
  <si>
    <t xml:space="preserve">Average Case Reserve </t>
  </si>
  <si>
    <t>Fitted-exp</t>
  </si>
  <si>
    <t>Linear</t>
  </si>
  <si>
    <t>Estimated Ultimate Frequency</t>
  </si>
  <si>
    <t>Estimated Ultimate Severity</t>
  </si>
  <si>
    <t>Exponential</t>
  </si>
  <si>
    <t>Fit</t>
  </si>
  <si>
    <t>R-squared</t>
  </si>
  <si>
    <t>Severity</t>
  </si>
  <si>
    <t>Paid Loss Development Method</t>
  </si>
  <si>
    <t>Incurred Loss Development Method</t>
  </si>
  <si>
    <t>Frequency and Severity Method</t>
  </si>
  <si>
    <t>Effect on Estimates Given a 2% Increase in Reported Losses Tail Factor</t>
  </si>
  <si>
    <t>Revised</t>
  </si>
  <si>
    <t>Unpaid</t>
  </si>
  <si>
    <t>Selected LDF's</t>
  </si>
  <si>
    <t>Age to Ult.</t>
  </si>
  <si>
    <t>Ratio</t>
  </si>
  <si>
    <t>(Without the 2% Tail Factor Increase)</t>
  </si>
  <si>
    <t>Increase in Estimated Unpaid Losses Due to Increased Tail Factor</t>
  </si>
  <si>
    <t>??</t>
  </si>
  <si>
    <t>Selected Loss Development Factors</t>
  </si>
  <si>
    <t>15,477 = 6,962 x 1.800 x 1.235</t>
  </si>
  <si>
    <t>LDFs</t>
  </si>
  <si>
    <t xml:space="preserve"># of </t>
  </si>
  <si>
    <t>Selected Development Factors</t>
  </si>
  <si>
    <t>LDF</t>
  </si>
  <si>
    <t>Estimated Unpaid Losses Based on Original ILDM</t>
  </si>
  <si>
    <t xml:space="preserve">   * The definition of a "reported claim" varies from</t>
  </si>
  <si>
    <t>Latest accident year:</t>
  </si>
  <si>
    <t>Latest evaluation date:</t>
  </si>
  <si>
    <t>12/31/01</t>
  </si>
  <si>
    <t>Also the heading of Sheet 2-7B will need to be updated separately.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</si>
</sst>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_);\(0\)"/>
    <numFmt numFmtId="168" formatCode="0.0%"/>
    <numFmt numFmtId="169" formatCode="_(* #,##0.0_);_(* \(#,##0.0\);_(* &quot;-&quot;?_);_(@_)"/>
    <numFmt numFmtId="170" formatCode="0.00000"/>
    <numFmt numFmtId="171" formatCode="0.0000"/>
    <numFmt numFmtId="172" formatCode="0.000"/>
    <numFmt numFmtId="173" formatCode="_(* #,##0.000_);_(* \(#,##0.000\);_(* &quot;-&quot;???_);_(@_)"/>
    <numFmt numFmtId="174" formatCode="mm/dd/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0"/>
    </font>
    <font>
      <sz val="7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Alignment="1" quotePrefix="1">
      <alignment horizontal="center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centerContinuous"/>
    </xf>
    <xf numFmtId="0" fontId="0" fillId="0" borderId="9" xfId="0" applyBorder="1" applyAlignment="1" quotePrefix="1">
      <alignment horizontal="centerContinuous"/>
    </xf>
    <xf numFmtId="0" fontId="0" fillId="0" borderId="0" xfId="0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166" fontId="0" fillId="0" borderId="1" xfId="15" applyNumberFormat="1" applyBorder="1" applyAlignment="1">
      <alignment horizontal="center"/>
    </xf>
    <xf numFmtId="166" fontId="0" fillId="0" borderId="0" xfId="15" applyNumberFormat="1" applyBorder="1" applyAlignment="1">
      <alignment horizontal="center"/>
    </xf>
    <xf numFmtId="166" fontId="0" fillId="0" borderId="4" xfId="15" applyNumberFormat="1" applyBorder="1" applyAlignment="1">
      <alignment horizontal="center"/>
    </xf>
    <xf numFmtId="166" fontId="0" fillId="0" borderId="6" xfId="15" applyNumberFormat="1" applyBorder="1" applyAlignment="1">
      <alignment horizontal="center"/>
    </xf>
    <xf numFmtId="166" fontId="0" fillId="0" borderId="7" xfId="15" applyNumberFormat="1" applyBorder="1" applyAlignment="1">
      <alignment horizontal="center"/>
    </xf>
    <xf numFmtId="166" fontId="0" fillId="0" borderId="2" xfId="15" applyNumberFormat="1" applyFont="1" applyBorder="1" applyAlignment="1" quotePrefix="1">
      <alignment horizontal="center"/>
    </xf>
    <xf numFmtId="166" fontId="0" fillId="0" borderId="6" xfId="15" applyNumberFormat="1" applyBorder="1" applyAlignment="1">
      <alignment/>
    </xf>
    <xf numFmtId="0" fontId="0" fillId="0" borderId="6" xfId="0" applyBorder="1" applyAlignment="1" quotePrefix="1">
      <alignment horizontal="center"/>
    </xf>
    <xf numFmtId="0" fontId="0" fillId="0" borderId="6" xfId="0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8" xfId="15" applyNumberFormat="1" applyBorder="1" applyAlignment="1">
      <alignment horizontal="center"/>
    </xf>
    <xf numFmtId="166" fontId="0" fillId="0" borderId="3" xfId="15" applyNumberFormat="1" applyBorder="1" applyAlignment="1">
      <alignment horizontal="center"/>
    </xf>
    <xf numFmtId="166" fontId="0" fillId="0" borderId="5" xfId="15" applyNumberForma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166" fontId="0" fillId="2" borderId="6" xfId="15" applyNumberFormat="1" applyFill="1" applyBorder="1" applyAlignment="1">
      <alignment/>
    </xf>
    <xf numFmtId="166" fontId="0" fillId="2" borderId="7" xfId="15" applyNumberFormat="1" applyFill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9" fillId="0" borderId="8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 quotePrefix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 quotePrefix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/>
    </xf>
    <xf numFmtId="166" fontId="9" fillId="0" borderId="0" xfId="15" applyNumberFormat="1" applyFont="1" applyAlignment="1">
      <alignment/>
    </xf>
    <xf numFmtId="165" fontId="9" fillId="0" borderId="0" xfId="0" applyNumberFormat="1" applyFont="1" applyAlignment="1">
      <alignment/>
    </xf>
    <xf numFmtId="0" fontId="9" fillId="0" borderId="9" xfId="0" applyFont="1" applyBorder="1" applyAlignment="1">
      <alignment horizontal="centerContinuous"/>
    </xf>
    <xf numFmtId="0" fontId="9" fillId="0" borderId="9" xfId="0" applyFont="1" applyBorder="1" applyAlignment="1" quotePrefix="1">
      <alignment horizontal="centerContinuous"/>
    </xf>
    <xf numFmtId="0" fontId="9" fillId="0" borderId="10" xfId="0" applyFont="1" applyBorder="1" applyAlignment="1" quotePrefix="1">
      <alignment horizontal="center"/>
    </xf>
    <xf numFmtId="0" fontId="9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165" fontId="9" fillId="0" borderId="8" xfId="15" applyNumberFormat="1" applyFont="1" applyBorder="1" applyAlignment="1">
      <alignment horizontal="center"/>
    </xf>
    <xf numFmtId="165" fontId="9" fillId="0" borderId="1" xfId="15" applyNumberFormat="1" applyFont="1" applyBorder="1" applyAlignment="1">
      <alignment horizontal="center"/>
    </xf>
    <xf numFmtId="165" fontId="9" fillId="0" borderId="16" xfId="15" applyNumberFormat="1" applyFont="1" applyBorder="1" applyAlignment="1">
      <alignment horizontal="center"/>
    </xf>
    <xf numFmtId="165" fontId="9" fillId="0" borderId="2" xfId="15" applyNumberFormat="1" applyFont="1" applyBorder="1" applyAlignment="1" quotePrefix="1">
      <alignment horizontal="center"/>
    </xf>
    <xf numFmtId="165" fontId="9" fillId="0" borderId="3" xfId="15" applyNumberFormat="1" applyFont="1" applyBorder="1" applyAlignment="1">
      <alignment horizontal="center"/>
    </xf>
    <xf numFmtId="165" fontId="9" fillId="0" borderId="0" xfId="15" applyNumberFormat="1" applyFont="1" applyBorder="1" applyAlignment="1">
      <alignment horizontal="center"/>
    </xf>
    <xf numFmtId="165" fontId="9" fillId="0" borderId="17" xfId="15" applyNumberFormat="1" applyFont="1" applyBorder="1" applyAlignment="1">
      <alignment horizontal="center"/>
    </xf>
    <xf numFmtId="165" fontId="9" fillId="0" borderId="4" xfId="15" applyNumberFormat="1" applyFont="1" applyBorder="1" applyAlignment="1" quotePrefix="1">
      <alignment horizontal="center"/>
    </xf>
    <xf numFmtId="165" fontId="9" fillId="0" borderId="10" xfId="15" applyNumberFormat="1" applyFont="1" applyBorder="1" applyAlignment="1">
      <alignment horizontal="center"/>
    </xf>
    <xf numFmtId="165" fontId="9" fillId="0" borderId="6" xfId="15" applyNumberFormat="1" applyFont="1" applyBorder="1" applyAlignment="1">
      <alignment horizontal="center"/>
    </xf>
    <xf numFmtId="165" fontId="9" fillId="0" borderId="7" xfId="15" applyNumberFormat="1" applyFont="1" applyBorder="1" applyAlignment="1" quotePrefix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166" fontId="9" fillId="0" borderId="5" xfId="15" applyNumberFormat="1" applyFont="1" applyBorder="1" applyAlignment="1">
      <alignment/>
    </xf>
    <xf numFmtId="166" fontId="9" fillId="0" borderId="6" xfId="15" applyNumberFormat="1" applyFont="1" applyBorder="1" applyAlignment="1">
      <alignment/>
    </xf>
    <xf numFmtId="166" fontId="9" fillId="0" borderId="7" xfId="15" applyNumberFormat="1" applyFont="1" applyBorder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0" xfId="0" applyFont="1" applyAlignment="1">
      <alignment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11" fillId="0" borderId="1" xfId="15" applyNumberFormat="1" applyFont="1" applyBorder="1" applyAlignment="1">
      <alignment horizontal="center"/>
    </xf>
    <xf numFmtId="3" fontId="11" fillId="0" borderId="2" xfId="15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" fontId="11" fillId="0" borderId="0" xfId="15" applyNumberFormat="1" applyFont="1" applyBorder="1" applyAlignment="1">
      <alignment horizontal="center"/>
    </xf>
    <xf numFmtId="3" fontId="11" fillId="0" borderId="4" xfId="15" applyNumberFormat="1" applyFont="1" applyBorder="1" applyAlignment="1">
      <alignment horizontal="center"/>
    </xf>
    <xf numFmtId="3" fontId="11" fillId="0" borderId="6" xfId="15" applyNumberFormat="1" applyFont="1" applyBorder="1" applyAlignment="1">
      <alignment horizontal="center"/>
    </xf>
    <xf numFmtId="3" fontId="11" fillId="0" borderId="7" xfId="15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11" fillId="0" borderId="8" xfId="0" applyNumberFormat="1" applyFont="1" applyBorder="1" applyAlignment="1">
      <alignment horizontal="centerContinuous"/>
    </xf>
    <xf numFmtId="3" fontId="11" fillId="0" borderId="1" xfId="0" applyNumberFormat="1" applyFont="1" applyBorder="1" applyAlignment="1">
      <alignment horizontal="centerContinuous"/>
    </xf>
    <xf numFmtId="3" fontId="11" fillId="0" borderId="2" xfId="0" applyNumberFormat="1" applyFont="1" applyBorder="1" applyAlignment="1">
      <alignment horizontal="centerContinuous"/>
    </xf>
    <xf numFmtId="0" fontId="11" fillId="0" borderId="9" xfId="0" applyFont="1" applyBorder="1" applyAlignment="1">
      <alignment horizontal="center"/>
    </xf>
    <xf numFmtId="3" fontId="11" fillId="0" borderId="5" xfId="0" applyNumberFormat="1" applyFont="1" applyBorder="1" applyAlignment="1">
      <alignment horizontal="centerContinuous"/>
    </xf>
    <xf numFmtId="3" fontId="11" fillId="0" borderId="6" xfId="0" applyNumberFormat="1" applyFont="1" applyBorder="1" applyAlignment="1">
      <alignment horizontal="centerContinuous"/>
    </xf>
    <xf numFmtId="3" fontId="11" fillId="0" borderId="7" xfId="0" applyNumberFormat="1" applyFont="1" applyBorder="1" applyAlignment="1">
      <alignment horizontal="centerContinuous"/>
    </xf>
    <xf numFmtId="0" fontId="11" fillId="0" borderId="14" xfId="0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" xfId="0" applyFont="1" applyBorder="1" applyAlignment="1" quotePrefix="1">
      <alignment horizontal="center"/>
    </xf>
    <xf numFmtId="0" fontId="11" fillId="0" borderId="4" xfId="0" applyFont="1" applyBorder="1" applyAlignment="1" quotePrefix="1">
      <alignment horizontal="center"/>
    </xf>
    <xf numFmtId="0" fontId="11" fillId="0" borderId="7" xfId="0" applyFont="1" applyBorder="1" applyAlignment="1" quotePrefix="1">
      <alignment horizontal="center"/>
    </xf>
    <xf numFmtId="0" fontId="11" fillId="0" borderId="0" xfId="0" applyFont="1" applyAlignment="1" quotePrefix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0" fillId="2" borderId="0" xfId="0" applyFill="1" applyAlignment="1">
      <alignment/>
    </xf>
    <xf numFmtId="0" fontId="0" fillId="0" borderId="5" xfId="0" applyFont="1" applyBorder="1" applyAlignment="1">
      <alignment horizontal="center"/>
    </xf>
    <xf numFmtId="166" fontId="0" fillId="0" borderId="0" xfId="15" applyNumberFormat="1" applyAlignment="1">
      <alignment/>
    </xf>
    <xf numFmtId="0" fontId="0" fillId="0" borderId="0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65" fontId="0" fillId="0" borderId="10" xfId="15" applyNumberFormat="1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Continuous"/>
    </xf>
    <xf numFmtId="0" fontId="0" fillId="0" borderId="0" xfId="0" applyBorder="1" applyAlignment="1" quotePrefix="1">
      <alignment horizontal="center"/>
    </xf>
    <xf numFmtId="0" fontId="6" fillId="2" borderId="0" xfId="0" applyFont="1" applyFill="1" applyAlignment="1">
      <alignment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0" applyNumberFormat="1" applyBorder="1" applyAlignment="1">
      <alignment/>
    </xf>
    <xf numFmtId="164" fontId="0" fillId="0" borderId="0" xfId="15" applyNumberFormat="1" applyBorder="1" applyAlignment="1">
      <alignment/>
    </xf>
    <xf numFmtId="9" fontId="0" fillId="0" borderId="4" xfId="19" applyBorder="1" applyAlignment="1">
      <alignment/>
    </xf>
    <xf numFmtId="3" fontId="0" fillId="0" borderId="6" xfId="0" applyNumberFormat="1" applyBorder="1" applyAlignment="1">
      <alignment/>
    </xf>
    <xf numFmtId="164" fontId="0" fillId="0" borderId="6" xfId="15" applyNumberFormat="1" applyBorder="1" applyAlignment="1">
      <alignment/>
    </xf>
    <xf numFmtId="9" fontId="0" fillId="0" borderId="7" xfId="19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 quotePrefix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12" fillId="0" borderId="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2" borderId="0" xfId="0" applyFont="1" applyFill="1" applyAlignment="1" quotePrefix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9" fontId="0" fillId="0" borderId="0" xfId="19" applyBorder="1" applyAlignment="1">
      <alignment/>
    </xf>
    <xf numFmtId="165" fontId="0" fillId="0" borderId="6" xfId="15" applyNumberFormat="1" applyBorder="1" applyAlignment="1">
      <alignment/>
    </xf>
    <xf numFmtId="9" fontId="0" fillId="0" borderId="6" xfId="19" applyBorder="1" applyAlignment="1">
      <alignment/>
    </xf>
    <xf numFmtId="165" fontId="0" fillId="0" borderId="3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7" xfId="15" applyNumberFormat="1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9" fontId="0" fillId="0" borderId="14" xfId="19" applyBorder="1" applyAlignment="1">
      <alignment/>
    </xf>
    <xf numFmtId="9" fontId="0" fillId="0" borderId="10" xfId="19" applyBorder="1" applyAlignment="1">
      <alignment/>
    </xf>
    <xf numFmtId="164" fontId="0" fillId="0" borderId="0" xfId="0" applyNumberFormat="1" applyAlignment="1">
      <alignment/>
    </xf>
    <xf numFmtId="166" fontId="0" fillId="0" borderId="7" xfId="15" applyNumberFormat="1" applyBorder="1" applyAlignment="1">
      <alignment/>
    </xf>
    <xf numFmtId="0" fontId="0" fillId="0" borderId="15" xfId="0" applyBorder="1" applyAlignment="1">
      <alignment/>
    </xf>
    <xf numFmtId="165" fontId="1" fillId="0" borderId="13" xfId="15" applyNumberFormat="1" applyFont="1" applyBorder="1" applyAlignment="1">
      <alignment/>
    </xf>
    <xf numFmtId="164" fontId="0" fillId="0" borderId="10" xfId="15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164" fontId="0" fillId="0" borderId="14" xfId="15" applyNumberFormat="1" applyBorder="1" applyAlignment="1">
      <alignment horizontal="centerContinuous"/>
    </xf>
    <xf numFmtId="165" fontId="0" fillId="0" borderId="14" xfId="15" applyNumberFormat="1" applyBorder="1" applyAlignment="1" quotePrefix="1">
      <alignment horizontal="centerContinuous"/>
    </xf>
    <xf numFmtId="164" fontId="0" fillId="0" borderId="14" xfId="15" applyNumberFormat="1" applyBorder="1" applyAlignment="1">
      <alignment/>
    </xf>
    <xf numFmtId="165" fontId="0" fillId="0" borderId="14" xfId="15" applyNumberFormat="1" applyBorder="1" applyAlignment="1">
      <alignment/>
    </xf>
    <xf numFmtId="165" fontId="0" fillId="0" borderId="14" xfId="0" applyNumberFormat="1" applyBorder="1" applyAlignment="1">
      <alignment/>
    </xf>
    <xf numFmtId="164" fontId="0" fillId="0" borderId="10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2" xfId="15" applyNumberFormat="1" applyBorder="1" applyAlignment="1">
      <alignment horizontal="centerContinuous"/>
    </xf>
    <xf numFmtId="165" fontId="0" fillId="0" borderId="12" xfId="15" applyNumberFormat="1" applyBorder="1" applyAlignment="1">
      <alignment horizontal="centerContinuous"/>
    </xf>
    <xf numFmtId="164" fontId="0" fillId="0" borderId="1" xfId="15" applyNumberFormat="1" applyBorder="1" applyAlignment="1">
      <alignment/>
    </xf>
    <xf numFmtId="165" fontId="0" fillId="0" borderId="1" xfId="15" applyNumberFormat="1" applyBorder="1" applyAlignment="1">
      <alignment/>
    </xf>
    <xf numFmtId="168" fontId="0" fillId="0" borderId="2" xfId="19" applyNumberFormat="1" applyBorder="1" applyAlignment="1">
      <alignment/>
    </xf>
    <xf numFmtId="168" fontId="0" fillId="0" borderId="4" xfId="19" applyNumberFormat="1" applyBorder="1" applyAlignment="1">
      <alignment/>
    </xf>
    <xf numFmtId="168" fontId="0" fillId="0" borderId="7" xfId="19" applyNumberFormat="1" applyBorder="1" applyAlignment="1">
      <alignment/>
    </xf>
    <xf numFmtId="0" fontId="0" fillId="0" borderId="0" xfId="0" applyAlignment="1">
      <alignment horizontal="centerContinuous"/>
    </xf>
    <xf numFmtId="166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9" fontId="0" fillId="0" borderId="13" xfId="19" applyBorder="1" applyAlignment="1">
      <alignment/>
    </xf>
    <xf numFmtId="0" fontId="1" fillId="0" borderId="0" xfId="0" applyFont="1" applyAlignment="1">
      <alignment horizontal="centerContinuous"/>
    </xf>
    <xf numFmtId="0" fontId="7" fillId="0" borderId="9" xfId="0" applyFont="1" applyBorder="1" applyAlignment="1">
      <alignment horizontal="center"/>
    </xf>
    <xf numFmtId="165" fontId="7" fillId="0" borderId="9" xfId="15" applyNumberFormat="1" applyFont="1" applyBorder="1" applyAlignment="1">
      <alignment/>
    </xf>
    <xf numFmtId="0" fontId="7" fillId="0" borderId="8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14" xfId="0" applyFont="1" applyBorder="1" applyAlignment="1">
      <alignment horizontal="center"/>
    </xf>
    <xf numFmtId="165" fontId="7" fillId="0" borderId="14" xfId="15" applyNumberFormat="1" applyFont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65" fontId="7" fillId="0" borderId="10" xfId="15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15" applyNumberFormat="1" applyFont="1" applyAlignment="1">
      <alignment/>
    </xf>
    <xf numFmtId="166" fontId="7" fillId="0" borderId="0" xfId="15" applyNumberFormat="1" applyFont="1" applyAlignment="1">
      <alignment/>
    </xf>
    <xf numFmtId="0" fontId="7" fillId="3" borderId="0" xfId="0" applyFont="1" applyFill="1" applyAlignment="1">
      <alignment/>
    </xf>
    <xf numFmtId="164" fontId="0" fillId="0" borderId="0" xfId="15" applyNumberFormat="1" applyFont="1" applyBorder="1" applyAlignment="1">
      <alignment horizontal="right"/>
    </xf>
    <xf numFmtId="164" fontId="0" fillId="0" borderId="9" xfId="15" applyNumberFormat="1" applyBorder="1" applyAlignment="1">
      <alignment horizontal="center"/>
    </xf>
    <xf numFmtId="165" fontId="0" fillId="0" borderId="9" xfId="15" applyNumberForma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0" xfId="0" applyFont="1" applyAlignment="1">
      <alignment/>
    </xf>
    <xf numFmtId="0" fontId="11" fillId="0" borderId="9" xfId="0" applyFont="1" applyBorder="1" applyAlignment="1">
      <alignment horizontal="centerContinuous"/>
    </xf>
    <xf numFmtId="0" fontId="11" fillId="0" borderId="9" xfId="0" applyFont="1" applyBorder="1" applyAlignment="1" quotePrefix="1">
      <alignment horizontal="centerContinuous"/>
    </xf>
    <xf numFmtId="0" fontId="11" fillId="0" borderId="10" xfId="0" applyFont="1" applyBorder="1" applyAlignment="1" quotePrefix="1">
      <alignment horizontal="center"/>
    </xf>
    <xf numFmtId="166" fontId="11" fillId="0" borderId="0" xfId="15" applyNumberFormat="1" applyFont="1" applyBorder="1" applyAlignment="1">
      <alignment horizontal="center"/>
    </xf>
    <xf numFmtId="166" fontId="11" fillId="0" borderId="2" xfId="15" applyNumberFormat="1" applyFont="1" applyBorder="1" applyAlignment="1" quotePrefix="1">
      <alignment horizontal="center"/>
    </xf>
    <xf numFmtId="166" fontId="11" fillId="0" borderId="4" xfId="15" applyNumberFormat="1" applyFont="1" applyBorder="1" applyAlignment="1">
      <alignment horizontal="center"/>
    </xf>
    <xf numFmtId="166" fontId="11" fillId="0" borderId="5" xfId="15" applyNumberFormat="1" applyFont="1" applyBorder="1" applyAlignment="1">
      <alignment horizontal="center"/>
    </xf>
    <xf numFmtId="166" fontId="11" fillId="0" borderId="6" xfId="15" applyNumberFormat="1" applyFont="1" applyBorder="1" applyAlignment="1">
      <alignment horizontal="center"/>
    </xf>
    <xf numFmtId="166" fontId="11" fillId="0" borderId="7" xfId="15" applyNumberFormat="1" applyFont="1" applyBorder="1" applyAlignment="1">
      <alignment horizontal="center"/>
    </xf>
    <xf numFmtId="166" fontId="11" fillId="0" borderId="0" xfId="0" applyNumberFormat="1" applyFont="1" applyAlignment="1">
      <alignment/>
    </xf>
    <xf numFmtId="0" fontId="11" fillId="0" borderId="0" xfId="0" applyFont="1" applyAlignment="1" quotePrefix="1">
      <alignment horizontal="right"/>
    </xf>
    <xf numFmtId="166" fontId="11" fillId="0" borderId="0" xfId="15" applyNumberFormat="1" applyFont="1" applyAlignment="1">
      <alignment/>
    </xf>
    <xf numFmtId="0" fontId="11" fillId="2" borderId="0" xfId="0" applyFont="1" applyFill="1" applyAlignment="1">
      <alignment/>
    </xf>
    <xf numFmtId="166" fontId="11" fillId="2" borderId="0" xfId="15" applyNumberFormat="1" applyFont="1" applyFill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15" applyNumberFormat="1" applyFont="1" applyAlignment="1">
      <alignment horizontal="center"/>
    </xf>
    <xf numFmtId="0" fontId="7" fillId="0" borderId="0" xfId="0" applyFont="1" applyAlignment="1" quotePrefix="1">
      <alignment horizontal="center"/>
    </xf>
    <xf numFmtId="165" fontId="7" fillId="2" borderId="0" xfId="15" applyNumberFormat="1" applyFont="1" applyFill="1" applyAlignment="1">
      <alignment horizontal="center"/>
    </xf>
    <xf numFmtId="165" fontId="7" fillId="0" borderId="0" xfId="15" applyNumberFormat="1" applyFont="1" applyFill="1" applyAlignment="1">
      <alignment horizontal="center"/>
    </xf>
    <xf numFmtId="172" fontId="11" fillId="0" borderId="0" xfId="0" applyNumberFormat="1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7" fillId="3" borderId="0" xfId="15" applyNumberFormat="1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 quotePrefix="1">
      <alignment horizontal="center"/>
    </xf>
    <xf numFmtId="167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8" xfId="0" applyFont="1" applyBorder="1" applyAlignment="1">
      <alignment horizontal="center"/>
    </xf>
    <xf numFmtId="166" fontId="7" fillId="0" borderId="3" xfId="15" applyNumberFormat="1" applyFont="1" applyBorder="1" applyAlignment="1">
      <alignment horizontal="center"/>
    </xf>
    <xf numFmtId="166" fontId="7" fillId="0" borderId="0" xfId="15" applyNumberFormat="1" applyFont="1" applyBorder="1" applyAlignment="1">
      <alignment horizontal="center"/>
    </xf>
    <xf numFmtId="166" fontId="7" fillId="0" borderId="4" xfId="15" applyNumberFormat="1" applyFont="1" applyBorder="1" applyAlignment="1">
      <alignment horizontal="center"/>
    </xf>
    <xf numFmtId="165" fontId="7" fillId="0" borderId="4" xfId="15" applyNumberFormat="1" applyFont="1" applyBorder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6" fontId="7" fillId="0" borderId="5" xfId="15" applyNumberFormat="1" applyFont="1" applyBorder="1" applyAlignment="1">
      <alignment horizontal="center"/>
    </xf>
    <xf numFmtId="165" fontId="7" fillId="0" borderId="6" xfId="15" applyNumberFormat="1" applyFont="1" applyBorder="1" applyAlignment="1">
      <alignment horizontal="center"/>
    </xf>
    <xf numFmtId="165" fontId="7" fillId="0" borderId="7" xfId="15" applyNumberFormat="1" applyFont="1" applyBorder="1" applyAlignment="1">
      <alignment horizontal="center"/>
    </xf>
    <xf numFmtId="165" fontId="7" fillId="0" borderId="3" xfId="15" applyNumberFormat="1" applyFont="1" applyBorder="1" applyAlignment="1">
      <alignment horizontal="center"/>
    </xf>
    <xf numFmtId="165" fontId="7" fillId="0" borderId="5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165" fontId="7" fillId="3" borderId="3" xfId="15" applyNumberFormat="1" applyFont="1" applyFill="1" applyBorder="1" applyAlignment="1">
      <alignment horizontal="center"/>
    </xf>
    <xf numFmtId="165" fontId="7" fillId="3" borderId="0" xfId="15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/>
    </xf>
    <xf numFmtId="9" fontId="0" fillId="0" borderId="14" xfId="19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10" xfId="15" applyNumberFormat="1" applyFont="1" applyBorder="1" applyAlignment="1">
      <alignment/>
    </xf>
    <xf numFmtId="9" fontId="0" fillId="0" borderId="10" xfId="19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9" fontId="0" fillId="0" borderId="0" xfId="19" applyFont="1" applyBorder="1" applyAlignment="1">
      <alignment/>
    </xf>
    <xf numFmtId="9" fontId="0" fillId="0" borderId="4" xfId="19" applyFont="1" applyBorder="1" applyAlignment="1">
      <alignment/>
    </xf>
    <xf numFmtId="9" fontId="0" fillId="0" borderId="6" xfId="19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 quotePrefix="1">
      <alignment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2" borderId="5" xfId="15" applyNumberFormat="1" applyFill="1" applyBorder="1" applyAlignment="1">
      <alignment horizontal="center"/>
    </xf>
    <xf numFmtId="166" fontId="0" fillId="2" borderId="6" xfId="15" applyNumberFormat="1" applyFill="1" applyBorder="1" applyAlignment="1">
      <alignment horizontal="center"/>
    </xf>
    <xf numFmtId="166" fontId="0" fillId="2" borderId="7" xfId="15" applyNumberFormat="1" applyFill="1" applyBorder="1" applyAlignment="1">
      <alignment horizontal="center"/>
    </xf>
    <xf numFmtId="166" fontId="0" fillId="2" borderId="0" xfId="15" applyNumberFormat="1" applyFill="1" applyBorder="1" applyAlignment="1">
      <alignment horizontal="center"/>
    </xf>
    <xf numFmtId="166" fontId="0" fillId="2" borderId="4" xfId="15" applyNumberFormat="1" applyFill="1" applyBorder="1" applyAlignment="1">
      <alignment horizontal="center"/>
    </xf>
    <xf numFmtId="166" fontId="0" fillId="2" borderId="2" xfId="15" applyNumberFormat="1" applyFont="1" applyFill="1" applyBorder="1" applyAlignment="1" quotePrefix="1">
      <alignment horizontal="center"/>
    </xf>
    <xf numFmtId="166" fontId="0" fillId="2" borderId="3" xfId="15" applyNumberFormat="1" applyFill="1" applyBorder="1" applyAlignment="1">
      <alignment horizontal="center"/>
    </xf>
    <xf numFmtId="166" fontId="1" fillId="0" borderId="0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9" fillId="0" borderId="0" xfId="0" applyFont="1" applyAlignment="1">
      <alignment/>
    </xf>
    <xf numFmtId="174" fontId="19" fillId="0" borderId="0" xfId="0" applyNumberFormat="1" applyFont="1" applyBorder="1" applyAlignment="1" quotePrefix="1">
      <alignment horizontal="center"/>
    </xf>
    <xf numFmtId="0" fontId="9" fillId="0" borderId="9" xfId="0" applyFont="1" applyBorder="1" applyAlignment="1">
      <alignment horizontal="center"/>
    </xf>
    <xf numFmtId="165" fontId="12" fillId="0" borderId="0" xfId="15" applyNumberFormat="1" applyFont="1" applyAlignment="1">
      <alignment horizontal="right"/>
    </xf>
    <xf numFmtId="0" fontId="12" fillId="0" borderId="0" xfId="0" applyFont="1" applyAlignment="1">
      <alignment horizontal="right"/>
    </xf>
    <xf numFmtId="166" fontId="12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43" fontId="0" fillId="0" borderId="0" xfId="15" applyAlignment="1">
      <alignment/>
    </xf>
    <xf numFmtId="164" fontId="0" fillId="0" borderId="0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1" fillId="0" borderId="13" xfId="15" applyNumberFormat="1" applyFont="1" applyBorder="1" applyAlignment="1">
      <alignment/>
    </xf>
    <xf numFmtId="164" fontId="0" fillId="0" borderId="14" xfId="15" applyNumberFormat="1" applyBorder="1" applyAlignment="1">
      <alignment/>
    </xf>
    <xf numFmtId="164" fontId="0" fillId="0" borderId="1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Ultimate Loss Projections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0525"/>
          <c:w val="0.728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'2-3'!$B$4</c:f>
              <c:strCache>
                <c:ptCount val="1"/>
                <c:pt idx="0">
                  <c:v>Paid Method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'2-3'!$B$5:$B$10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'2-3'!$C$4</c:f>
              <c:strCache>
                <c:ptCount val="1"/>
                <c:pt idx="0">
                  <c:v>Incurred Method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'2-3'!$C$5:$C$10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'2-3'!$D$4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'2-3'!$D$5:$D$10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5654769"/>
        <c:axId val="31130874"/>
      </c:bar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30874"/>
        <c:crosses val="autoZero"/>
        <c:auto val="0"/>
        <c:lblOffset val="100"/>
        <c:noMultiLvlLbl val="0"/>
      </c:catAx>
      <c:valAx>
        <c:axId val="311308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65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675"/>
          <c:y val="0.514"/>
          <c:w val="0.21"/>
          <c:h val="0.41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Ultimate Loss Projections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20425"/>
          <c:w val="0.633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'2-3'!$B$4</c:f>
              <c:strCache>
                <c:ptCount val="1"/>
                <c:pt idx="0">
                  <c:v>Paid Method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'2-3'!$A$5:$A$10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'2-3'!$B$5:$B$10</c:f>
              <c:numCache>
                <c:ptCount val="6"/>
                <c:pt idx="0">
                  <c:v>11244</c:v>
                </c:pt>
                <c:pt idx="1">
                  <c:v>12985</c:v>
                </c:pt>
                <c:pt idx="2">
                  <c:v>15215</c:v>
                </c:pt>
                <c:pt idx="3">
                  <c:v>17588</c:v>
                </c:pt>
                <c:pt idx="4">
                  <c:v>19109</c:v>
                </c:pt>
                <c:pt idx="5">
                  <c:v>21435</c:v>
                </c:pt>
              </c:numCache>
            </c:numRef>
          </c:val>
        </c:ser>
        <c:ser>
          <c:idx val="1"/>
          <c:order val="1"/>
          <c:tx>
            <c:strRef>
              <c:f>'2-3'!$C$4</c:f>
              <c:strCache>
                <c:ptCount val="1"/>
                <c:pt idx="0">
                  <c:v>Incurred Method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'2-3'!$A$5:$A$10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'2-3'!$C$5:$C$10</c:f>
              <c:numCache>
                <c:ptCount val="6"/>
                <c:pt idx="0">
                  <c:v>11250</c:v>
                </c:pt>
                <c:pt idx="1">
                  <c:v>12738</c:v>
                </c:pt>
                <c:pt idx="2">
                  <c:v>14471</c:v>
                </c:pt>
                <c:pt idx="3">
                  <c:v>16308</c:v>
                </c:pt>
                <c:pt idx="4">
                  <c:v>17539</c:v>
                </c:pt>
                <c:pt idx="5">
                  <c:v>20119</c:v>
                </c:pt>
              </c:numCache>
            </c:numRef>
          </c:val>
        </c:ser>
        <c:ser>
          <c:idx val="2"/>
          <c:order val="2"/>
          <c:tx>
            <c:strRef>
              <c:f>'2-3'!$D$4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'2-3'!$A$5:$A$10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'2-3'!$D$5:$D$10</c:f>
              <c:numCache>
                <c:ptCount val="6"/>
                <c:pt idx="0">
                  <c:v>11247</c:v>
                </c:pt>
                <c:pt idx="1">
                  <c:v>12862</c:v>
                </c:pt>
                <c:pt idx="2">
                  <c:v>14843</c:v>
                </c:pt>
                <c:pt idx="3">
                  <c:v>16948</c:v>
                </c:pt>
                <c:pt idx="4">
                  <c:v>18324</c:v>
                </c:pt>
                <c:pt idx="5">
                  <c:v>20777</c:v>
                </c:pt>
              </c:numCache>
            </c:numRef>
          </c:val>
        </c:ser>
        <c:axId val="11742411"/>
        <c:axId val="38572836"/>
      </c:bar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72836"/>
        <c:crosses val="autoZero"/>
        <c:auto val="0"/>
        <c:lblOffset val="100"/>
        <c:noMultiLvlLbl val="0"/>
      </c:catAx>
      <c:valAx>
        <c:axId val="38572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742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475"/>
          <c:y val="0.375"/>
          <c:w val="0.31125"/>
          <c:h val="0.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Components of Selected Reserve @ 12/31/01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425"/>
          <c:w val="0.76575"/>
          <c:h val="0.7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'2-7'!$G$4</c:f>
              <c:strCache>
                <c:ptCount val="1"/>
                <c:pt idx="0">
                  <c:v>Case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'2-7'!$F$5:$F$10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'2-7'!$G$5:$G$10</c:f>
              <c:numCache>
                <c:ptCount val="6"/>
                <c:pt idx="0">
                  <c:v>742</c:v>
                </c:pt>
                <c:pt idx="1">
                  <c:v>1189</c:v>
                </c:pt>
                <c:pt idx="2">
                  <c:v>1955</c:v>
                </c:pt>
                <c:pt idx="3">
                  <c:v>3367</c:v>
                </c:pt>
                <c:pt idx="4">
                  <c:v>5604</c:v>
                </c:pt>
                <c:pt idx="5">
                  <c:v>9599</c:v>
                </c:pt>
              </c:numCache>
            </c:numRef>
          </c:val>
        </c:ser>
        <c:ser>
          <c:idx val="1"/>
          <c:order val="1"/>
          <c:tx>
            <c:strRef>
              <c:f>'2-7'!$H$4</c:f>
              <c:strCache>
                <c:ptCount val="1"/>
                <c:pt idx="0">
                  <c:v>IBNR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'2-7'!$F$5:$F$10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'2-7'!$H$5:$H$10</c:f>
              <c:numCache>
                <c:ptCount val="6"/>
                <c:pt idx="0">
                  <c:v>0</c:v>
                </c:pt>
                <c:pt idx="1">
                  <c:v>137</c:v>
                </c:pt>
                <c:pt idx="2">
                  <c:v>430</c:v>
                </c:pt>
                <c:pt idx="3">
                  <c:v>882</c:v>
                </c:pt>
                <c:pt idx="4">
                  <c:v>1548</c:v>
                </c:pt>
                <c:pt idx="5">
                  <c:v>4216</c:v>
                </c:pt>
              </c:numCache>
            </c:numRef>
          </c:val>
        </c:ser>
        <c:overlap val="100"/>
        <c:axId val="11611205"/>
        <c:axId val="37391982"/>
      </c:barChart>
      <c:catAx>
        <c:axId val="11611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Accident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391982"/>
        <c:crosses val="autoZero"/>
        <c:auto val="0"/>
        <c:lblOffset val="100"/>
        <c:noMultiLvlLbl val="0"/>
      </c:catAx>
      <c:valAx>
        <c:axId val="373919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61120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Ultimate Loss Ratio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05"/>
          <c:w val="0.641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'2-14'!$K$4</c:f>
              <c:strCache>
                <c:ptCount val="1"/>
                <c:pt idx="0">
                  <c:v>Paid LDM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'2-14'!$J$5:$J$10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'2-14'!$K$5:$K$10</c:f>
              <c:numCache>
                <c:ptCount val="6"/>
                <c:pt idx="0">
                  <c:v>0.6188903566710701</c:v>
                </c:pt>
                <c:pt idx="1">
                  <c:v>0.5903614457831325</c:v>
                </c:pt>
                <c:pt idx="2">
                  <c:v>0.629421255119348</c:v>
                </c:pt>
                <c:pt idx="3">
                  <c:v>0.6888070807550717</c:v>
                </c:pt>
                <c:pt idx="4">
                  <c:v>0.609712517150059</c:v>
                </c:pt>
                <c:pt idx="5">
                  <c:v>0.5572019028308508</c:v>
                </c:pt>
              </c:numCache>
            </c:numRef>
          </c:val>
        </c:ser>
        <c:ser>
          <c:idx val="1"/>
          <c:order val="1"/>
          <c:tx>
            <c:strRef>
              <c:f>'2-14'!$L$4</c:f>
              <c:strCache>
                <c:ptCount val="1"/>
                <c:pt idx="0">
                  <c:v>Incurred LDM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'2-14'!$J$5:$J$10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'2-14'!$L$5:$L$10</c:f>
              <c:numCache>
                <c:ptCount val="6"/>
                <c:pt idx="0">
                  <c:v>0.619220607661823</c:v>
                </c:pt>
                <c:pt idx="1">
                  <c:v>0.5791316208229143</c:v>
                </c:pt>
                <c:pt idx="2">
                  <c:v>0.5986431142183428</c:v>
                </c:pt>
                <c:pt idx="3">
                  <c:v>0.6386778413096263</c:v>
                </c:pt>
                <c:pt idx="4">
                  <c:v>0.5596183912446955</c:v>
                </c:pt>
                <c:pt idx="5">
                  <c:v>0.5229925394473472</c:v>
                </c:pt>
              </c:numCache>
            </c:numRef>
          </c:val>
        </c:ser>
        <c:ser>
          <c:idx val="2"/>
          <c:order val="2"/>
          <c:tx>
            <c:strRef>
              <c:f>'2-14'!$M$4</c:f>
              <c:strCache>
                <c:ptCount val="1"/>
                <c:pt idx="0">
                  <c:v>Selected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'2-14'!$J$5:$J$10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'2-14'!$M$5:$M$10</c:f>
              <c:numCache>
                <c:ptCount val="6"/>
                <c:pt idx="0">
                  <c:v>0.6190554821664465</c:v>
                </c:pt>
                <c:pt idx="1">
                  <c:v>0.5847692657422141</c:v>
                </c:pt>
                <c:pt idx="2">
                  <c:v>0.6140321846688455</c:v>
                </c:pt>
                <c:pt idx="3">
                  <c:v>0.663742461032349</c:v>
                </c:pt>
                <c:pt idx="4">
                  <c:v>0.5846654541973773</c:v>
                </c:pt>
                <c:pt idx="5">
                  <c:v>0.540097221139099</c:v>
                </c:pt>
              </c:numCache>
            </c:numRef>
          </c:val>
        </c:ser>
        <c:axId val="983519"/>
        <c:axId val="8851672"/>
      </c:barChart>
      <c:catAx>
        <c:axId val="98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Accident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51672"/>
        <c:crosses val="autoZero"/>
        <c:auto val="0"/>
        <c:lblOffset val="100"/>
        <c:noMultiLvlLbl val="0"/>
      </c:catAx>
      <c:valAx>
        <c:axId val="8851672"/>
        <c:scaling>
          <c:orientation val="minMax"/>
          <c:max val="0.7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83519"/>
        <c:crossesAt val="1"/>
        <c:crossBetween val="between"/>
        <c:dispUnits/>
        <c:majorUnit val="0.1"/>
        <c:minorUnit val="0.0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"/>
          <c:y val="0.398"/>
          <c:w val="0.296"/>
          <c:h val="0.4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Pure Premium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2"/>
          <c:y val="0.1375"/>
          <c:w val="0.84825"/>
          <c:h val="0.7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'2-18'!$H$5</c:f>
              <c:strCache>
                <c:ptCount val="1"/>
                <c:pt idx="0">
                  <c:v>At 12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'2-18'!$G$6:$G$11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'2-18'!$H$6:$H$11</c:f>
              <c:numCache>
                <c:ptCount val="6"/>
                <c:pt idx="0">
                  <c:v>91.53921568627452</c:v>
                </c:pt>
                <c:pt idx="1">
                  <c:v>107.55102040816327</c:v>
                </c:pt>
                <c:pt idx="2">
                  <c:v>115.29126213592232</c:v>
                </c:pt>
                <c:pt idx="3">
                  <c:v>127.07619047619048</c:v>
                </c:pt>
                <c:pt idx="4">
                  <c:v>132.74311926605503</c:v>
                </c:pt>
                <c:pt idx="5">
                  <c:v>140.34745762711864</c:v>
                </c:pt>
              </c:numCache>
            </c:numRef>
          </c:val>
        </c:ser>
        <c:ser>
          <c:idx val="1"/>
          <c:order val="1"/>
          <c:tx>
            <c:strRef>
              <c:f>'2-18'!$I$5</c:f>
              <c:strCache>
                <c:ptCount val="1"/>
                <c:pt idx="0">
                  <c:v>Additional to Ultimate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'2-18'!$G$6:$G$11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'2-18'!$I$6:$I$11</c:f>
              <c:numCache>
                <c:ptCount val="6"/>
                <c:pt idx="0">
                  <c:v>18.75490196078431</c:v>
                </c:pt>
                <c:pt idx="1">
                  <c:v>22.42857142857143</c:v>
                </c:pt>
                <c:pt idx="2">
                  <c:v>25.203883495145647</c:v>
                </c:pt>
                <c:pt idx="3">
                  <c:v>28.23809523809524</c:v>
                </c:pt>
                <c:pt idx="4">
                  <c:v>28.165137614678912</c:v>
                </c:pt>
                <c:pt idx="5">
                  <c:v>30.152542372881356</c:v>
                </c:pt>
              </c:numCache>
            </c:numRef>
          </c:val>
        </c:ser>
        <c:overlap val="100"/>
        <c:axId val="12556185"/>
        <c:axId val="45896802"/>
      </c:bar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45896802"/>
        <c:crosses val="autoZero"/>
        <c:auto val="0"/>
        <c:lblOffset val="100"/>
        <c:noMultiLvlLbl val="0"/>
      </c:catAx>
      <c:valAx>
        <c:axId val="45896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Ultimate Pure Premium</a:t>
                </a:r>
              </a:p>
            </c:rich>
          </c:tx>
          <c:layout>
            <c:manualLayout>
              <c:xMode val="factor"/>
              <c:yMode val="factor"/>
              <c:x val="-0.009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5618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25"/>
          <c:y val="0.88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Average Case Reserve
 @ 12 Months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9935"/>
          <c:h val="0.7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'2-28'!$K$1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'2-28'!$J$2:$J$7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'2-28'!$K$2:$K$7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418035"/>
        <c:axId val="26653452"/>
      </c:barChart>
      <c:lineChart>
        <c:grouping val="standard"/>
        <c:varyColors val="0"/>
        <c:ser>
          <c:idx val="0"/>
          <c:order val="1"/>
          <c:tx>
            <c:strRef>
              <c:f>'2-28'!$L$1</c:f>
              <c:strCache>
                <c:ptCount val="1"/>
                <c:pt idx="0">
                  <c:v>Fitted-exp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'2-28'!$J$2:$J$7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'2-28'!$L$2:$L$7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8554477"/>
        <c:axId val="11445974"/>
      </c:line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53452"/>
        <c:crosses val="autoZero"/>
        <c:auto val="0"/>
        <c:lblOffset val="100"/>
        <c:noMultiLvlLbl val="0"/>
      </c:catAx>
      <c:valAx>
        <c:axId val="266534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418035"/>
        <c:crossesAt val="1"/>
        <c:crossBetween val="between"/>
        <c:dispUnits/>
      </c:valAx>
      <c:catAx>
        <c:axId val="38554477"/>
        <c:scaling>
          <c:orientation val="minMax"/>
        </c:scaling>
        <c:axPos val="b"/>
        <c:delete val="1"/>
        <c:majorTickMark val="in"/>
        <c:minorTickMark val="none"/>
        <c:tickLblPos val="nextTo"/>
        <c:crossAx val="11445974"/>
        <c:crosses val="autoZero"/>
        <c:auto val="0"/>
        <c:lblOffset val="100"/>
        <c:noMultiLvlLbl val="0"/>
      </c:catAx>
      <c:valAx>
        <c:axId val="11445974"/>
        <c:scaling>
          <c:orientation val="minMax"/>
        </c:scaling>
        <c:axPos val="l"/>
        <c:delete val="1"/>
        <c:majorTickMark val="in"/>
        <c:minorTickMark val="none"/>
        <c:tickLblPos val="nextTo"/>
        <c:crossAx val="38554477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3"/>
          <c:y val="0.8985"/>
          <c:w val="0.6545"/>
          <c:h val="0.1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</xdr:col>
      <xdr:colOff>1028700</xdr:colOff>
      <xdr:row>23</xdr:row>
      <xdr:rowOff>104775</xdr:rowOff>
    </xdr:to>
    <xdr:graphicFrame>
      <xdr:nvGraphicFramePr>
        <xdr:cNvPr id="1" name="Chart 3"/>
        <xdr:cNvGraphicFramePr/>
      </xdr:nvGraphicFramePr>
      <xdr:xfrm>
        <a:off x="0" y="2105025"/>
        <a:ext cx="34385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19050</xdr:colOff>
      <xdr:row>9</xdr:row>
      <xdr:rowOff>85725</xdr:rowOff>
    </xdr:to>
    <xdr:graphicFrame>
      <xdr:nvGraphicFramePr>
        <xdr:cNvPr id="1" name="Chart 1"/>
        <xdr:cNvGraphicFramePr/>
      </xdr:nvGraphicFramePr>
      <xdr:xfrm>
        <a:off x="85725" y="76200"/>
        <a:ext cx="298132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933450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981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142875</xdr:rowOff>
    </xdr:from>
    <xdr:to>
      <xdr:col>8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5750" y="142875"/>
        <a:ext cx="4591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104775</xdr:rowOff>
    </xdr:from>
    <xdr:to>
      <xdr:col>4</xdr:col>
      <xdr:colOff>571500</xdr:colOff>
      <xdr:row>11</xdr:row>
      <xdr:rowOff>114300</xdr:rowOff>
    </xdr:to>
    <xdr:graphicFrame>
      <xdr:nvGraphicFramePr>
        <xdr:cNvPr id="1" name="Chart 1"/>
        <xdr:cNvGraphicFramePr/>
      </xdr:nvGraphicFramePr>
      <xdr:xfrm>
        <a:off x="38100" y="104775"/>
        <a:ext cx="29718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47625</xdr:rowOff>
    </xdr:from>
    <xdr:to>
      <xdr:col>5</xdr:col>
      <xdr:colOff>581025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676275" y="209550"/>
        <a:ext cx="29527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2" max="2" width="10.140625" style="0" customWidth="1"/>
  </cols>
  <sheetData>
    <row r="1" spans="1:3" ht="12.75">
      <c r="A1" t="s">
        <v>173</v>
      </c>
      <c r="C1" s="367">
        <v>2001</v>
      </c>
    </row>
    <row r="3" spans="1:3" ht="12.75">
      <c r="A3" t="s">
        <v>174</v>
      </c>
      <c r="C3" s="368" t="s">
        <v>175</v>
      </c>
    </row>
    <row r="5" ht="12.75">
      <c r="A5" t="s">
        <v>176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="85" zoomScaleNormal="85" workbookViewId="0" topLeftCell="A1">
      <selection activeCell="A1" sqref="A1"/>
    </sheetView>
  </sheetViews>
  <sheetFormatPr defaultColWidth="9.140625" defaultRowHeight="12.75"/>
  <sheetData>
    <row r="1" spans="1:8" ht="15.75">
      <c r="A1" s="109"/>
      <c r="B1" s="110" t="s">
        <v>56</v>
      </c>
      <c r="C1" s="111"/>
      <c r="D1" s="111"/>
      <c r="E1" s="111"/>
      <c r="F1" s="111"/>
      <c r="G1" s="112"/>
      <c r="H1" s="113"/>
    </row>
    <row r="2" spans="1:8" ht="15.75">
      <c r="A2" s="114" t="s">
        <v>2</v>
      </c>
      <c r="B2" s="115" t="s">
        <v>3</v>
      </c>
      <c r="C2" s="116"/>
      <c r="D2" s="116"/>
      <c r="E2" s="116"/>
      <c r="F2" s="116"/>
      <c r="G2" s="117"/>
      <c r="H2" s="113"/>
    </row>
    <row r="3" spans="1:8" ht="15.75">
      <c r="A3" s="118" t="s">
        <v>5</v>
      </c>
      <c r="B3" s="119">
        <v>12</v>
      </c>
      <c r="C3" s="119">
        <v>24</v>
      </c>
      <c r="D3" s="119">
        <v>36</v>
      </c>
      <c r="E3" s="119">
        <v>48</v>
      </c>
      <c r="F3" s="119">
        <v>60</v>
      </c>
      <c r="G3" s="119">
        <v>72</v>
      </c>
      <c r="H3" s="113"/>
    </row>
    <row r="4" spans="1:8" ht="15.75">
      <c r="A4" s="120">
        <f>+A5-1</f>
        <v>1996</v>
      </c>
      <c r="B4" s="121">
        <v>5557</v>
      </c>
      <c r="C4" s="121">
        <v>4176</v>
      </c>
      <c r="D4" s="121">
        <v>2936</v>
      </c>
      <c r="E4" s="121">
        <v>1987</v>
      </c>
      <c r="F4" s="121">
        <v>1245</v>
      </c>
      <c r="G4" s="122">
        <v>742</v>
      </c>
      <c r="H4" s="113"/>
    </row>
    <row r="5" spans="1:8" ht="15.75">
      <c r="A5" s="123">
        <f>+A6-1</f>
        <v>1997</v>
      </c>
      <c r="B5" s="124">
        <v>6328</v>
      </c>
      <c r="C5" s="124">
        <v>4664</v>
      </c>
      <c r="D5" s="124">
        <v>3200</v>
      </c>
      <c r="E5" s="124">
        <v>2051</v>
      </c>
      <c r="F5" s="124">
        <v>1189</v>
      </c>
      <c r="G5" s="125"/>
      <c r="H5" s="113"/>
    </row>
    <row r="6" spans="1:8" ht="15.75">
      <c r="A6" s="123">
        <f>+A7-1</f>
        <v>1998</v>
      </c>
      <c r="B6" s="124">
        <v>6974</v>
      </c>
      <c r="C6" s="124">
        <v>4968</v>
      </c>
      <c r="D6" s="124">
        <v>3251</v>
      </c>
      <c r="E6" s="124">
        <v>1955</v>
      </c>
      <c r="F6" s="124"/>
      <c r="G6" s="125"/>
      <c r="H6" s="113"/>
    </row>
    <row r="7" spans="1:8" ht="15.75">
      <c r="A7" s="123">
        <f>+A8-1</f>
        <v>1999</v>
      </c>
      <c r="B7" s="124">
        <v>7635</v>
      </c>
      <c r="C7" s="124">
        <v>5274</v>
      </c>
      <c r="D7" s="124">
        <v>3367</v>
      </c>
      <c r="E7" s="124"/>
      <c r="F7" s="124"/>
      <c r="G7" s="125"/>
      <c r="H7" s="113"/>
    </row>
    <row r="8" spans="1:8" ht="15.75">
      <c r="A8" s="123">
        <f>+A9-1</f>
        <v>2000</v>
      </c>
      <c r="B8" s="124">
        <v>8376</v>
      </c>
      <c r="C8" s="124">
        <v>5604</v>
      </c>
      <c r="D8" s="124"/>
      <c r="E8" s="124"/>
      <c r="F8" s="124"/>
      <c r="G8" s="125"/>
      <c r="H8" s="113"/>
    </row>
    <row r="9" spans="1:8" ht="15.75">
      <c r="A9" s="118">
        <f>curryr</f>
        <v>2001</v>
      </c>
      <c r="B9" s="126">
        <v>9599</v>
      </c>
      <c r="C9" s="126"/>
      <c r="D9" s="126"/>
      <c r="E9" s="126"/>
      <c r="F9" s="126"/>
      <c r="G9" s="127"/>
      <c r="H9" s="113"/>
    </row>
    <row r="10" spans="1:8" ht="15.75">
      <c r="A10" s="113"/>
      <c r="B10" s="128"/>
      <c r="C10" s="128"/>
      <c r="D10" s="128"/>
      <c r="E10" s="128"/>
      <c r="F10" s="128"/>
      <c r="G10" s="128"/>
      <c r="H10" s="113"/>
    </row>
    <row r="11" spans="1:8" ht="15.75">
      <c r="A11" s="113"/>
      <c r="B11" s="128"/>
      <c r="C11" s="128"/>
      <c r="D11" s="128"/>
      <c r="E11" s="128"/>
      <c r="F11" s="128"/>
      <c r="G11" s="128"/>
      <c r="H11" s="113"/>
    </row>
    <row r="12" spans="1:8" ht="15.75">
      <c r="A12" s="109"/>
      <c r="B12" s="129" t="s">
        <v>57</v>
      </c>
      <c r="C12" s="130"/>
      <c r="D12" s="130"/>
      <c r="E12" s="130"/>
      <c r="F12" s="130"/>
      <c r="G12" s="131"/>
      <c r="H12" s="132" t="s">
        <v>58</v>
      </c>
    </row>
    <row r="13" spans="1:8" ht="15.75">
      <c r="A13" s="114" t="s">
        <v>2</v>
      </c>
      <c r="B13" s="133" t="s">
        <v>3</v>
      </c>
      <c r="C13" s="134"/>
      <c r="D13" s="134"/>
      <c r="E13" s="134"/>
      <c r="F13" s="134"/>
      <c r="G13" s="135"/>
      <c r="H13" s="136" t="s">
        <v>4</v>
      </c>
    </row>
    <row r="14" spans="1:8" ht="15.75">
      <c r="A14" s="118" t="s">
        <v>5</v>
      </c>
      <c r="B14" s="137">
        <v>12</v>
      </c>
      <c r="C14" s="137">
        <v>24</v>
      </c>
      <c r="D14" s="137">
        <v>36</v>
      </c>
      <c r="E14" s="137">
        <v>48</v>
      </c>
      <c r="F14" s="137">
        <v>60</v>
      </c>
      <c r="G14" s="137">
        <v>72</v>
      </c>
      <c r="H14" s="138" t="s">
        <v>6</v>
      </c>
    </row>
    <row r="15" spans="1:8" ht="15.75">
      <c r="A15" s="120">
        <f>+A16-1</f>
        <v>1996</v>
      </c>
      <c r="B15" s="121">
        <f>B4+'24'!B6</f>
        <v>9337</v>
      </c>
      <c r="C15" s="121">
        <f>C4+'24'!C6</f>
        <v>10847</v>
      </c>
      <c r="D15" s="121">
        <f>D4+'24'!D6</f>
        <v>11092</v>
      </c>
      <c r="E15" s="121">
        <f>E4+'24'!E6</f>
        <v>11192</v>
      </c>
      <c r="F15" s="121">
        <f>F4+'24'!F6</f>
        <v>11235</v>
      </c>
      <c r="G15" s="121">
        <f>G4+'24'!G6</f>
        <v>11250</v>
      </c>
      <c r="H15" s="139" t="s">
        <v>7</v>
      </c>
    </row>
    <row r="16" spans="1:8" ht="15.75">
      <c r="A16" s="123">
        <f>+A17-1</f>
        <v>1997</v>
      </c>
      <c r="B16" s="124">
        <f>B5+'24'!B7</f>
        <v>10540</v>
      </c>
      <c r="C16" s="124">
        <f>C5+'24'!C7</f>
        <v>12205</v>
      </c>
      <c r="D16" s="124">
        <f>D5+'24'!D7</f>
        <v>12551</v>
      </c>
      <c r="E16" s="124">
        <f>E5+'24'!E7</f>
        <v>12690</v>
      </c>
      <c r="F16" s="124">
        <f>F5+'24'!F7</f>
        <v>12725</v>
      </c>
      <c r="G16" s="124"/>
      <c r="H16" s="140" t="s">
        <v>7</v>
      </c>
    </row>
    <row r="17" spans="1:8" ht="15.75">
      <c r="A17" s="123">
        <f>+A18-1</f>
        <v>1998</v>
      </c>
      <c r="B17" s="124">
        <f>B6+'24'!B8</f>
        <v>11875</v>
      </c>
      <c r="C17" s="124">
        <f>C6+'24'!C8</f>
        <v>13832</v>
      </c>
      <c r="D17" s="124">
        <f>D6+'24'!D8</f>
        <v>14238</v>
      </c>
      <c r="E17" s="124">
        <f>E6+'24'!E8</f>
        <v>14413</v>
      </c>
      <c r="F17" s="124"/>
      <c r="G17" s="124"/>
      <c r="H17" s="140" t="s">
        <v>7</v>
      </c>
    </row>
    <row r="18" spans="1:8" ht="15.75">
      <c r="A18" s="123">
        <f>+A19-1</f>
        <v>1999</v>
      </c>
      <c r="B18" s="124">
        <f>B7+'24'!B9</f>
        <v>13343</v>
      </c>
      <c r="C18" s="124">
        <f>C7+'24'!C9</f>
        <v>15542</v>
      </c>
      <c r="D18" s="124">
        <f>D7+'24'!D9</f>
        <v>16066</v>
      </c>
      <c r="E18" s="124"/>
      <c r="F18" s="124"/>
      <c r="G18" s="124"/>
      <c r="H18" s="140" t="s">
        <v>7</v>
      </c>
    </row>
    <row r="19" spans="1:8" ht="15.75">
      <c r="A19" s="123">
        <f>+A20-1</f>
        <v>2000</v>
      </c>
      <c r="B19" s="124">
        <f>B8+'24'!B10</f>
        <v>14469</v>
      </c>
      <c r="C19" s="124">
        <f>C8+'24'!C10</f>
        <v>16776</v>
      </c>
      <c r="D19" s="124"/>
      <c r="E19" s="124"/>
      <c r="F19" s="124"/>
      <c r="G19" s="124"/>
      <c r="H19" s="140" t="s">
        <v>7</v>
      </c>
    </row>
    <row r="20" spans="1:8" ht="15.75">
      <c r="A20" s="118">
        <f>+A9</f>
        <v>2001</v>
      </c>
      <c r="B20" s="126">
        <f>B9+'24'!B11</f>
        <v>16561</v>
      </c>
      <c r="C20" s="126"/>
      <c r="D20" s="126"/>
      <c r="E20" s="126"/>
      <c r="F20" s="126"/>
      <c r="G20" s="126"/>
      <c r="H20" s="141" t="s">
        <v>7</v>
      </c>
    </row>
    <row r="21" spans="1:8" ht="15.75">
      <c r="A21" s="113"/>
      <c r="B21" s="113"/>
      <c r="C21" s="113"/>
      <c r="D21" s="113"/>
      <c r="E21" s="113"/>
      <c r="F21" s="113"/>
      <c r="G21" s="113"/>
      <c r="H21" s="113"/>
    </row>
    <row r="22" spans="1:8" ht="15.75">
      <c r="A22" s="142" t="s">
        <v>59</v>
      </c>
      <c r="B22" s="113"/>
      <c r="C22" s="113"/>
      <c r="D22" s="113"/>
      <c r="E22" s="113"/>
      <c r="F22" s="113"/>
      <c r="G22" s="113"/>
      <c r="H22" s="113"/>
    </row>
    <row r="23" spans="1:8" ht="12.75">
      <c r="A23" s="57"/>
      <c r="B23" s="57"/>
      <c r="C23" s="57"/>
      <c r="D23" s="57"/>
      <c r="E23" s="57"/>
      <c r="F23" s="57"/>
      <c r="G23" s="57"/>
      <c r="H23" s="57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6384" width="9.140625" style="257" customWidth="1"/>
  </cols>
  <sheetData>
    <row r="1" spans="1:7" ht="15">
      <c r="A1" s="253"/>
      <c r="B1" s="254" t="s">
        <v>8</v>
      </c>
      <c r="C1" s="255"/>
      <c r="D1" s="255"/>
      <c r="E1" s="255"/>
      <c r="F1" s="255"/>
      <c r="G1" s="256"/>
    </row>
    <row r="2" spans="1:8" ht="15.75">
      <c r="A2" s="114" t="s">
        <v>2</v>
      </c>
      <c r="B2" s="258"/>
      <c r="C2" s="258"/>
      <c r="D2" s="258"/>
      <c r="E2" s="258"/>
      <c r="F2" s="258"/>
      <c r="G2" s="259" t="s">
        <v>9</v>
      </c>
      <c r="H2" s="113"/>
    </row>
    <row r="3" spans="1:8" ht="15.75">
      <c r="A3" s="118" t="s">
        <v>5</v>
      </c>
      <c r="B3" s="260" t="s">
        <v>10</v>
      </c>
      <c r="C3" s="260" t="s">
        <v>11</v>
      </c>
      <c r="D3" s="260" t="s">
        <v>12</v>
      </c>
      <c r="E3" s="260" t="s">
        <v>13</v>
      </c>
      <c r="F3" s="260" t="s">
        <v>14</v>
      </c>
      <c r="G3" s="138" t="s">
        <v>15</v>
      </c>
      <c r="H3" s="113"/>
    </row>
    <row r="4" spans="1:8" ht="15.75">
      <c r="A4" s="136">
        <f>+A5-1</f>
        <v>1996</v>
      </c>
      <c r="B4" s="261">
        <f>ROUND('31'!C15/'31'!B15,3)</f>
        <v>1.162</v>
      </c>
      <c r="C4" s="261">
        <f>ROUND('31'!D15/'31'!C15,3)</f>
        <v>1.023</v>
      </c>
      <c r="D4" s="261">
        <f>ROUND('31'!E15/'31'!D15,3)</f>
        <v>1.009</v>
      </c>
      <c r="E4" s="261">
        <f>ROUND('31'!F15/'31'!E15,3)</f>
        <v>1.004</v>
      </c>
      <c r="F4" s="261">
        <f>ROUND('31'!G15/'31'!F15,3)</f>
        <v>1.001</v>
      </c>
      <c r="G4" s="262" t="s">
        <v>7</v>
      </c>
      <c r="H4" s="113"/>
    </row>
    <row r="5" spans="1:8" ht="15.75">
      <c r="A5" s="136">
        <f>+A6-1</f>
        <v>1997</v>
      </c>
      <c r="B5" s="261">
        <f>ROUND('31'!C16/'31'!B16,3)</f>
        <v>1.158</v>
      </c>
      <c r="C5" s="261">
        <f>ROUND('31'!D16/'31'!C16,3)</f>
        <v>1.028</v>
      </c>
      <c r="D5" s="261">
        <f>ROUND('31'!E16/'31'!D16,3)</f>
        <v>1.011</v>
      </c>
      <c r="E5" s="261">
        <f>ROUND('31'!F16/'31'!E16,3)</f>
        <v>1.003</v>
      </c>
      <c r="F5" s="261"/>
      <c r="G5" s="263"/>
      <c r="H5" s="113"/>
    </row>
    <row r="6" spans="1:8" ht="15.75">
      <c r="A6" s="136">
        <f>+A7-1</f>
        <v>1998</v>
      </c>
      <c r="B6" s="261">
        <f>ROUND('31'!C17/'31'!B17,3)</f>
        <v>1.165</v>
      </c>
      <c r="C6" s="261">
        <f>ROUND('31'!D17/'31'!C17,3)</f>
        <v>1.029</v>
      </c>
      <c r="D6" s="261">
        <f>ROUND('31'!E17/'31'!D17,3)</f>
        <v>1.012</v>
      </c>
      <c r="E6" s="261"/>
      <c r="F6" s="261"/>
      <c r="G6" s="263"/>
      <c r="H6" s="113"/>
    </row>
    <row r="7" spans="1:8" ht="15.75">
      <c r="A7" s="136">
        <f>+A8-1</f>
        <v>1999</v>
      </c>
      <c r="B7" s="261">
        <f>ROUND('31'!C18/'31'!B18,3)</f>
        <v>1.165</v>
      </c>
      <c r="C7" s="261">
        <f>ROUND('31'!D18/'31'!C18,3)</f>
        <v>1.034</v>
      </c>
      <c r="D7" s="261"/>
      <c r="E7" s="261"/>
      <c r="F7" s="261"/>
      <c r="G7" s="263"/>
      <c r="H7" s="113"/>
    </row>
    <row r="8" spans="1:8" ht="15.75">
      <c r="A8" s="136">
        <f>+A9-1</f>
        <v>2000</v>
      </c>
      <c r="B8" s="261">
        <f>ROUND('31'!C19/'31'!B19,3)</f>
        <v>1.159</v>
      </c>
      <c r="C8" s="261"/>
      <c r="D8" s="261"/>
      <c r="E8" s="261"/>
      <c r="F8" s="261"/>
      <c r="G8" s="263"/>
      <c r="H8" s="113"/>
    </row>
    <row r="9" spans="1:8" ht="15.75">
      <c r="A9" s="138">
        <f>curryr</f>
        <v>2001</v>
      </c>
      <c r="B9" s="264"/>
      <c r="C9" s="265"/>
      <c r="D9" s="265"/>
      <c r="E9" s="265"/>
      <c r="F9" s="265"/>
      <c r="G9" s="266"/>
      <c r="H9" s="113"/>
    </row>
    <row r="10" spans="1:8" ht="15.75">
      <c r="A10" s="113" t="s">
        <v>19</v>
      </c>
      <c r="B10" s="113"/>
      <c r="C10" s="113"/>
      <c r="D10" s="113"/>
      <c r="E10" s="113"/>
      <c r="F10" s="113"/>
      <c r="G10" s="113"/>
      <c r="H10" s="113"/>
    </row>
    <row r="11" spans="1:8" ht="15.75">
      <c r="A11" s="113"/>
      <c r="B11" s="267">
        <f>AVERAGE(B4:B8)</f>
        <v>1.1618</v>
      </c>
      <c r="C11" s="267">
        <f>AVERAGE(C4:C8)</f>
        <v>1.0285</v>
      </c>
      <c r="D11" s="267">
        <f>AVERAGE(D4:D8)</f>
        <v>1.0106666666666666</v>
      </c>
      <c r="E11" s="267">
        <f>AVERAGE(E4:E8)</f>
        <v>1.0034999999999998</v>
      </c>
      <c r="F11" s="267">
        <f>AVERAGE(F4:F8)</f>
        <v>1.001</v>
      </c>
      <c r="G11" s="113"/>
      <c r="H11" s="113"/>
    </row>
    <row r="12" spans="1:8" ht="15.75">
      <c r="A12" s="113"/>
      <c r="B12" s="113"/>
      <c r="C12" s="113"/>
      <c r="D12" s="113"/>
      <c r="E12" s="113"/>
      <c r="F12" s="113"/>
      <c r="G12" s="113"/>
      <c r="H12" s="113"/>
    </row>
    <row r="13" spans="1:8" ht="15.75">
      <c r="A13" s="113" t="s">
        <v>20</v>
      </c>
      <c r="B13" s="113"/>
      <c r="C13" s="113"/>
      <c r="D13" s="113"/>
      <c r="E13" s="113"/>
      <c r="F13" s="113"/>
      <c r="G13" s="113"/>
      <c r="H13" s="113"/>
    </row>
    <row r="14" spans="1:8" ht="15.75">
      <c r="A14" s="113"/>
      <c r="B14" s="267">
        <f>AVERAGE(B6:B8)</f>
        <v>1.163</v>
      </c>
      <c r="C14" s="267">
        <f>AVERAGE(C5:C7)</f>
        <v>1.0303333333333333</v>
      </c>
      <c r="D14" s="267">
        <f>AVERAGE(D4:D6)</f>
        <v>1.0106666666666666</v>
      </c>
      <c r="E14" s="268" t="s">
        <v>21</v>
      </c>
      <c r="F14" s="268" t="s">
        <v>21</v>
      </c>
      <c r="G14" s="113"/>
      <c r="H14" s="113"/>
    </row>
    <row r="15" spans="1:8" ht="15.75">
      <c r="A15" s="113"/>
      <c r="B15" s="113"/>
      <c r="C15" s="113"/>
      <c r="D15" s="113"/>
      <c r="E15" s="113"/>
      <c r="F15" s="113"/>
      <c r="G15" s="113"/>
      <c r="H15" s="113"/>
    </row>
    <row r="16" spans="1:8" ht="15.75">
      <c r="A16" s="113" t="s">
        <v>22</v>
      </c>
      <c r="B16" s="113"/>
      <c r="C16" s="113"/>
      <c r="D16" s="113"/>
      <c r="E16" s="113"/>
      <c r="F16" s="113"/>
      <c r="G16" s="113"/>
      <c r="H16" s="113"/>
    </row>
    <row r="17" spans="1:8" ht="15.75">
      <c r="A17" s="113"/>
      <c r="B17" s="113">
        <f>(SUM(B4:B8)-MAX(B4:B8)-MIN(B4:B8))/(COUNT(B4:B8)-2)</f>
        <v>1.1620000000000001</v>
      </c>
      <c r="C17" s="267">
        <f>(SUM(C4:C7)-MAX(C4:C7)-MIN(C4:C7))/(COUNT(C4:C7)-2)</f>
        <v>1.0285000000000002</v>
      </c>
      <c r="D17" s="267">
        <f>(SUM(D4:D6)-MAX(D4:D6)-MIN(D4:D6))/(COUNT(D4:D6)-2)</f>
        <v>1.0109999999999997</v>
      </c>
      <c r="E17" s="268" t="s">
        <v>21</v>
      </c>
      <c r="F17" s="268" t="s">
        <v>21</v>
      </c>
      <c r="G17" s="113"/>
      <c r="H17" s="113"/>
    </row>
    <row r="18" spans="1:8" ht="15.75">
      <c r="A18" s="113"/>
      <c r="B18" s="113"/>
      <c r="C18" s="113"/>
      <c r="D18" s="113"/>
      <c r="E18" s="113"/>
      <c r="F18" s="113"/>
      <c r="G18" s="113"/>
      <c r="H18" s="113"/>
    </row>
    <row r="19" spans="1:8" ht="15.75">
      <c r="A19" s="113" t="s">
        <v>23</v>
      </c>
      <c r="B19" s="113"/>
      <c r="C19" s="113"/>
      <c r="D19" s="113"/>
      <c r="E19" s="113"/>
      <c r="F19" s="113"/>
      <c r="G19" s="113"/>
      <c r="H19" s="113"/>
    </row>
    <row r="20" spans="1:8" ht="15.75">
      <c r="A20" s="113"/>
      <c r="B20" s="269">
        <f>SUM('31'!C15:C19)/SUM('31'!B15:B19)</f>
        <v>1.1618091464643072</v>
      </c>
      <c r="C20" s="269">
        <f>SUM('31'!D15:D18)/SUM('31'!C15:C18)</f>
        <v>1.0290123221302407</v>
      </c>
      <c r="D20" s="269">
        <f>SUM('31'!E15:E17)/SUM('31'!D15:D17)</f>
        <v>1.010928961748634</v>
      </c>
      <c r="E20" s="269">
        <f>SUM('31'!F15:F16)/SUM('31'!E15:E16)</f>
        <v>1.0032660581190855</v>
      </c>
      <c r="F20" s="269">
        <f>SUM('31'!G15:G15)/SUM('31'!F15:F15)</f>
        <v>1.0013351134846462</v>
      </c>
      <c r="G20" s="269"/>
      <c r="H20" s="113"/>
    </row>
    <row r="21" spans="1:8" ht="15.75">
      <c r="A21" s="113"/>
      <c r="B21" s="269"/>
      <c r="C21" s="269"/>
      <c r="D21" s="269"/>
      <c r="E21" s="269"/>
      <c r="F21" s="269"/>
      <c r="G21" s="269"/>
      <c r="H21" s="113"/>
    </row>
    <row r="22" spans="1:8" ht="15.75">
      <c r="A22" s="270" t="s">
        <v>165</v>
      </c>
      <c r="B22" s="271"/>
      <c r="C22" s="271"/>
      <c r="D22" s="271"/>
      <c r="E22" s="271"/>
      <c r="F22" s="271"/>
      <c r="G22" s="271"/>
      <c r="H22" s="113"/>
    </row>
    <row r="23" spans="1:8" ht="15.75">
      <c r="A23" s="270"/>
      <c r="B23" s="271">
        <v>1.162</v>
      </c>
      <c r="C23" s="271">
        <v>1.03</v>
      </c>
      <c r="D23" s="271">
        <v>1.011</v>
      </c>
      <c r="E23" s="271">
        <v>1.003</v>
      </c>
      <c r="F23" s="271">
        <v>1.001</v>
      </c>
      <c r="G23" s="271">
        <v>1</v>
      </c>
      <c r="H23" s="113"/>
    </row>
    <row r="24" spans="1:8" ht="15.75">
      <c r="A24" s="113"/>
      <c r="B24" s="269"/>
      <c r="C24" s="269"/>
      <c r="D24" s="269"/>
      <c r="E24" s="269"/>
      <c r="F24" s="269"/>
      <c r="G24" s="269"/>
      <c r="H24" s="113"/>
    </row>
    <row r="25" spans="1:8" ht="15.75">
      <c r="A25" s="113" t="s">
        <v>60</v>
      </c>
      <c r="B25" s="269"/>
      <c r="C25" s="269"/>
      <c r="D25" s="269"/>
      <c r="E25" s="269"/>
      <c r="F25" s="269"/>
      <c r="G25" s="269"/>
      <c r="H25" s="113"/>
    </row>
    <row r="26" spans="1:8" ht="15.75">
      <c r="A26" s="113"/>
      <c r="B26" s="285">
        <f>(C26*B23)</f>
        <v>1.2148691919163797</v>
      </c>
      <c r="C26" s="285">
        <f>(D26*C23)</f>
        <v>1.0454984439899997</v>
      </c>
      <c r="D26" s="285">
        <f>(E26*D23)</f>
        <v>1.0150470329999997</v>
      </c>
      <c r="E26" s="113">
        <f>(F26*E23)</f>
        <v>1.0040029999999998</v>
      </c>
      <c r="F26" s="113">
        <f>(G26*F23)</f>
        <v>1.001</v>
      </c>
      <c r="G26" s="269">
        <v>1</v>
      </c>
      <c r="H26" s="113"/>
    </row>
    <row r="27" spans="1:8" ht="15.75">
      <c r="A27" s="113"/>
      <c r="B27" s="113"/>
      <c r="C27" s="113"/>
      <c r="D27" s="113"/>
      <c r="E27" s="113"/>
      <c r="F27" s="113"/>
      <c r="G27" s="113"/>
      <c r="H27" s="113"/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1.57421875" style="0" customWidth="1"/>
    <col min="5" max="5" width="9.8515625" style="0" customWidth="1"/>
  </cols>
  <sheetData>
    <row r="1" spans="1:6" ht="12.75">
      <c r="A1" s="63"/>
      <c r="B1" s="68" t="s">
        <v>36</v>
      </c>
      <c r="C1" s="68"/>
      <c r="D1" s="68" t="s">
        <v>38</v>
      </c>
      <c r="E1" s="68" t="s">
        <v>36</v>
      </c>
      <c r="F1" s="69" t="s">
        <v>38</v>
      </c>
    </row>
    <row r="2" spans="1:6" ht="12.75">
      <c r="A2" s="64"/>
      <c r="B2" s="70" t="s">
        <v>61</v>
      </c>
      <c r="C2" s="70" t="s">
        <v>41</v>
      </c>
      <c r="D2" s="70" t="s">
        <v>15</v>
      </c>
      <c r="E2" s="70" t="s">
        <v>39</v>
      </c>
      <c r="F2" s="71" t="s">
        <v>42</v>
      </c>
    </row>
    <row r="3" spans="1:6" ht="12.75">
      <c r="A3" s="64" t="s">
        <v>43</v>
      </c>
      <c r="B3" s="70" t="s">
        <v>44</v>
      </c>
      <c r="C3" s="70" t="s">
        <v>45</v>
      </c>
      <c r="D3" s="70" t="s">
        <v>44</v>
      </c>
      <c r="E3" s="70" t="s">
        <v>44</v>
      </c>
      <c r="F3" s="71" t="s">
        <v>46</v>
      </c>
    </row>
    <row r="4" spans="1:6" ht="12.75">
      <c r="A4" s="61" t="s">
        <v>5</v>
      </c>
      <c r="B4" s="72" t="str">
        <f>"@ "&amp;curreval</f>
        <v>@ 12/31/01</v>
      </c>
      <c r="C4" s="73" t="s">
        <v>15</v>
      </c>
      <c r="D4" s="72" t="s">
        <v>62</v>
      </c>
      <c r="E4" s="72" t="str">
        <f>"@ "&amp;curreval</f>
        <v>@ 12/31/01</v>
      </c>
      <c r="F4" s="67" t="s">
        <v>63</v>
      </c>
    </row>
    <row r="5" spans="1:6" ht="12.75">
      <c r="A5" s="74" t="s">
        <v>49</v>
      </c>
      <c r="B5" s="74" t="s">
        <v>50</v>
      </c>
      <c r="C5" s="74" t="s">
        <v>51</v>
      </c>
      <c r="D5" s="74" t="s">
        <v>52</v>
      </c>
      <c r="E5" s="74" t="s">
        <v>53</v>
      </c>
      <c r="F5" s="74" t="s">
        <v>54</v>
      </c>
    </row>
    <row r="6" spans="1:6" ht="12.75">
      <c r="A6" s="57"/>
      <c r="B6" s="57"/>
      <c r="C6" s="57"/>
      <c r="D6" s="57"/>
      <c r="E6" s="57"/>
      <c r="F6" s="57"/>
    </row>
    <row r="7" spans="1:8" ht="12.75">
      <c r="A7" s="75">
        <f>+A8-1</f>
        <v>1996</v>
      </c>
      <c r="B7" s="76">
        <f>'31'!G15</f>
        <v>11250</v>
      </c>
      <c r="C7" s="77">
        <f>'32'!G26</f>
        <v>1</v>
      </c>
      <c r="D7" s="76">
        <f aca="true" t="shared" si="0" ref="D7:D12">ROUND(C7*B7,0)</f>
        <v>11250</v>
      </c>
      <c r="E7" s="78">
        <f>'29'!B7</f>
        <v>10508</v>
      </c>
      <c r="F7" s="78">
        <f aca="true" t="shared" si="1" ref="F7:F12">D7-E7</f>
        <v>742</v>
      </c>
      <c r="H7" s="14"/>
    </row>
    <row r="8" spans="1:6" ht="12.75">
      <c r="A8" s="75">
        <f>+A9-1</f>
        <v>1997</v>
      </c>
      <c r="B8" s="76">
        <f>'31'!F16</f>
        <v>12725</v>
      </c>
      <c r="C8" s="77">
        <f>'32'!F26</f>
        <v>1.001</v>
      </c>
      <c r="D8" s="76">
        <f t="shared" si="0"/>
        <v>12738</v>
      </c>
      <c r="E8" s="78">
        <f>'29'!B8</f>
        <v>11536</v>
      </c>
      <c r="F8" s="78">
        <f t="shared" si="1"/>
        <v>1202</v>
      </c>
    </row>
    <row r="9" spans="1:6" ht="12.75">
      <c r="A9" s="75">
        <f>+A10-1</f>
        <v>1998</v>
      </c>
      <c r="B9" s="76">
        <f>'31'!E17</f>
        <v>14413</v>
      </c>
      <c r="C9" s="77">
        <f>'32'!E26</f>
        <v>1.0040029999999998</v>
      </c>
      <c r="D9" s="76">
        <f t="shared" si="0"/>
        <v>14471</v>
      </c>
      <c r="E9" s="78">
        <f>'29'!B9</f>
        <v>12458</v>
      </c>
      <c r="F9" s="78">
        <f t="shared" si="1"/>
        <v>2013</v>
      </c>
    </row>
    <row r="10" spans="1:6" ht="12.75">
      <c r="A10" s="75">
        <f>+A11-1</f>
        <v>1999</v>
      </c>
      <c r="B10" s="76">
        <f>'31'!D18</f>
        <v>16066</v>
      </c>
      <c r="C10" s="77">
        <f>'32'!D26</f>
        <v>1.0150470329999997</v>
      </c>
      <c r="D10" s="76">
        <f t="shared" si="0"/>
        <v>16308</v>
      </c>
      <c r="E10" s="78">
        <f>'29'!B10</f>
        <v>12699</v>
      </c>
      <c r="F10" s="78">
        <f t="shared" si="1"/>
        <v>3609</v>
      </c>
    </row>
    <row r="11" spans="1:6" ht="12.75">
      <c r="A11" s="75">
        <f>+A12-1</f>
        <v>2000</v>
      </c>
      <c r="B11" s="76">
        <f>'31'!C19</f>
        <v>16776</v>
      </c>
      <c r="C11" s="77">
        <f>'32'!C26</f>
        <v>1.0454984439899997</v>
      </c>
      <c r="D11" s="76">
        <f t="shared" si="0"/>
        <v>17539</v>
      </c>
      <c r="E11" s="78">
        <f>'29'!B11</f>
        <v>11172</v>
      </c>
      <c r="F11" s="78">
        <f t="shared" si="1"/>
        <v>6367</v>
      </c>
    </row>
    <row r="12" spans="1:6" ht="12.75">
      <c r="A12" s="75">
        <f>curryr</f>
        <v>2001</v>
      </c>
      <c r="B12" s="76">
        <f>'31'!B20</f>
        <v>16561</v>
      </c>
      <c r="C12" s="77">
        <f>'32'!B26</f>
        <v>1.2148691919163797</v>
      </c>
      <c r="D12" s="76">
        <f t="shared" si="0"/>
        <v>20119</v>
      </c>
      <c r="E12" s="78">
        <f>'29'!B12</f>
        <v>6962</v>
      </c>
      <c r="F12" s="78">
        <f t="shared" si="1"/>
        <v>13157</v>
      </c>
    </row>
    <row r="13" spans="1:6" ht="12.75">
      <c r="A13" s="57"/>
      <c r="B13" s="57"/>
      <c r="C13" s="57"/>
      <c r="D13" s="57"/>
      <c r="E13" s="57"/>
      <c r="F13" s="57"/>
    </row>
    <row r="14" spans="1:6" ht="12.75">
      <c r="A14" s="75" t="s">
        <v>4</v>
      </c>
      <c r="B14" s="78">
        <f>SUM(B7:B13)</f>
        <v>87791</v>
      </c>
      <c r="C14" s="78"/>
      <c r="D14" s="78">
        <f>SUM(D7:D13)</f>
        <v>92425</v>
      </c>
      <c r="E14" s="78">
        <f>SUM(E7:E13)</f>
        <v>65335</v>
      </c>
      <c r="F14" s="78">
        <f>SUM(F7:F13)</f>
        <v>27090</v>
      </c>
    </row>
    <row r="15" spans="1:6" ht="12.75">
      <c r="A15" s="57"/>
      <c r="B15" s="57"/>
      <c r="C15" s="57"/>
      <c r="D15" s="57"/>
      <c r="E15" s="57"/>
      <c r="F15" s="57"/>
    </row>
    <row r="16" spans="1:6" ht="12.75">
      <c r="A16" s="57"/>
      <c r="B16" s="57"/>
      <c r="C16" s="57"/>
      <c r="D16" s="57"/>
      <c r="E16" s="57"/>
      <c r="F16" s="57"/>
    </row>
  </sheetData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3" width="12.421875" style="0" customWidth="1"/>
    <col min="4" max="4" width="15.7109375" style="0" customWidth="1"/>
  </cols>
  <sheetData>
    <row r="1" spans="1:4" ht="12.75">
      <c r="A1" s="34"/>
      <c r="B1" s="1" t="s">
        <v>64</v>
      </c>
      <c r="C1" s="1"/>
      <c r="D1" s="2"/>
    </row>
    <row r="2" spans="1:4" ht="12.75">
      <c r="A2" s="35" t="s">
        <v>2</v>
      </c>
      <c r="B2" s="34" t="s">
        <v>39</v>
      </c>
      <c r="C2" s="34" t="s">
        <v>65</v>
      </c>
      <c r="D2" s="34" t="s">
        <v>66</v>
      </c>
    </row>
    <row r="3" spans="1:4" ht="12.75">
      <c r="A3" s="36" t="s">
        <v>5</v>
      </c>
      <c r="B3" s="36" t="s">
        <v>67</v>
      </c>
      <c r="C3" s="36" t="s">
        <v>67</v>
      </c>
      <c r="D3" s="36" t="s">
        <v>40</v>
      </c>
    </row>
    <row r="4" spans="1:4" ht="12.75">
      <c r="A4" s="35"/>
      <c r="B4" s="52" t="s">
        <v>68</v>
      </c>
      <c r="C4" s="52" t="s">
        <v>69</v>
      </c>
      <c r="D4" s="53" t="s">
        <v>70</v>
      </c>
    </row>
    <row r="5" spans="1:4" ht="12.75">
      <c r="A5" s="35">
        <f>+A6-1</f>
        <v>1996</v>
      </c>
      <c r="B5" s="48">
        <f>'29'!E7</f>
        <v>11244</v>
      </c>
      <c r="C5" s="48">
        <f>'33'!D7</f>
        <v>11250</v>
      </c>
      <c r="D5" s="49">
        <f aca="true" t="shared" si="0" ref="D5:D10">ROUND(AVERAGE(B5:C5),0)</f>
        <v>11247</v>
      </c>
    </row>
    <row r="6" spans="1:4" ht="12.75">
      <c r="A6" s="35">
        <f>+A7-1</f>
        <v>1997</v>
      </c>
      <c r="B6" s="48">
        <f>'29'!E8</f>
        <v>12985</v>
      </c>
      <c r="C6" s="48">
        <f>'33'!D8</f>
        <v>12738</v>
      </c>
      <c r="D6" s="49">
        <f t="shared" si="0"/>
        <v>12862</v>
      </c>
    </row>
    <row r="7" spans="1:4" ht="12.75">
      <c r="A7" s="35">
        <f>+A8-1</f>
        <v>1998</v>
      </c>
      <c r="B7" s="48">
        <f>'29'!E9</f>
        <v>15215</v>
      </c>
      <c r="C7" s="48">
        <f>'33'!D9</f>
        <v>14471</v>
      </c>
      <c r="D7" s="49">
        <f t="shared" si="0"/>
        <v>14843</v>
      </c>
    </row>
    <row r="8" spans="1:4" ht="12.75">
      <c r="A8" s="35">
        <f>+A9-1</f>
        <v>1999</v>
      </c>
      <c r="B8" s="48">
        <f>'29'!E10</f>
        <v>17588</v>
      </c>
      <c r="C8" s="48">
        <f>'33'!D10</f>
        <v>16308</v>
      </c>
      <c r="D8" s="49">
        <f t="shared" si="0"/>
        <v>16948</v>
      </c>
    </row>
    <row r="9" spans="1:4" ht="12.75">
      <c r="A9" s="35">
        <f>+A10-1</f>
        <v>2000</v>
      </c>
      <c r="B9" s="48">
        <f>'29'!E11</f>
        <v>19109</v>
      </c>
      <c r="C9" s="48">
        <f>'33'!D11</f>
        <v>17539</v>
      </c>
      <c r="D9" s="49">
        <f t="shared" si="0"/>
        <v>18324</v>
      </c>
    </row>
    <row r="10" spans="1:4" ht="12.75">
      <c r="A10" s="35">
        <f>curryr</f>
        <v>2001</v>
      </c>
      <c r="B10" s="48">
        <f>'29'!E12</f>
        <v>21435</v>
      </c>
      <c r="C10" s="48">
        <f>'33'!D12</f>
        <v>20119</v>
      </c>
      <c r="D10" s="49">
        <f t="shared" si="0"/>
        <v>20777</v>
      </c>
    </row>
    <row r="11" spans="1:4" ht="12.75">
      <c r="A11" s="34"/>
      <c r="B11" s="1"/>
      <c r="C11" s="1"/>
      <c r="D11" s="2"/>
    </row>
    <row r="12" spans="1:4" ht="12.75">
      <c r="A12" s="36" t="s">
        <v>4</v>
      </c>
      <c r="B12" s="50">
        <f>SUM(B5:B11)</f>
        <v>97576</v>
      </c>
      <c r="C12" s="50">
        <f>SUM(C5:C11)</f>
        <v>92425</v>
      </c>
      <c r="D12" s="51">
        <f>SUM(D5:D11)</f>
        <v>95001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workbookViewId="0" topLeftCell="A1">
      <selection activeCell="F37" sqref="F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4" width="12.7109375" style="0" customWidth="1"/>
  </cols>
  <sheetData>
    <row r="1" spans="1:4" ht="12.75">
      <c r="A1" s="286"/>
      <c r="B1" s="287" t="s">
        <v>71</v>
      </c>
      <c r="C1" s="288"/>
      <c r="D1" s="289"/>
    </row>
    <row r="2" spans="1:4" ht="12.75">
      <c r="A2" s="290" t="s">
        <v>2</v>
      </c>
      <c r="B2" s="286" t="s">
        <v>39</v>
      </c>
      <c r="C2" s="286" t="s">
        <v>65</v>
      </c>
      <c r="D2" s="286" t="s">
        <v>66</v>
      </c>
    </row>
    <row r="3" spans="1:6" ht="12.75">
      <c r="A3" s="21" t="s">
        <v>5</v>
      </c>
      <c r="B3" s="21" t="s">
        <v>67</v>
      </c>
      <c r="C3" s="21" t="s">
        <v>67</v>
      </c>
      <c r="D3" s="21" t="s">
        <v>40</v>
      </c>
      <c r="F3" s="4"/>
    </row>
    <row r="4" spans="1:9" ht="12.75">
      <c r="A4" s="290"/>
      <c r="B4" s="52" t="s">
        <v>68</v>
      </c>
      <c r="C4" s="52" t="s">
        <v>69</v>
      </c>
      <c r="D4" s="53" t="s">
        <v>70</v>
      </c>
      <c r="F4" s="337" t="s">
        <v>72</v>
      </c>
      <c r="G4" s="363" t="s">
        <v>73</v>
      </c>
      <c r="H4" s="363" t="s">
        <v>74</v>
      </c>
      <c r="I4" s="273"/>
    </row>
    <row r="5" spans="1:9" ht="12.75">
      <c r="A5" s="290">
        <f>+A6-1</f>
        <v>1996</v>
      </c>
      <c r="B5" s="291">
        <f>'29'!G7</f>
        <v>736</v>
      </c>
      <c r="C5" s="291">
        <f>'2-3'!C5-'33'!E7</f>
        <v>742</v>
      </c>
      <c r="D5" s="292">
        <f aca="true" t="shared" si="0" ref="D5:D10">ROUND(AVERAGE(B5:C5),0)</f>
        <v>739</v>
      </c>
      <c r="F5" s="364">
        <f aca="true" t="shared" si="1" ref="F5:F10">+A5</f>
        <v>1996</v>
      </c>
      <c r="G5" s="353">
        <f>'33'!B7-'33'!E7</f>
        <v>742</v>
      </c>
      <c r="H5" s="273">
        <v>0</v>
      </c>
      <c r="I5" s="273"/>
    </row>
    <row r="6" spans="1:9" ht="12.75">
      <c r="A6" s="290">
        <f>+A7-1</f>
        <v>1997</v>
      </c>
      <c r="B6" s="291">
        <f>'29'!G8</f>
        <v>1449</v>
      </c>
      <c r="C6" s="291">
        <f>'2-3'!C6-'33'!E8</f>
        <v>1202</v>
      </c>
      <c r="D6" s="292">
        <f t="shared" si="0"/>
        <v>1326</v>
      </c>
      <c r="F6" s="364">
        <f t="shared" si="1"/>
        <v>1997</v>
      </c>
      <c r="G6" s="353">
        <f>'33'!B8-'33'!E8</f>
        <v>1189</v>
      </c>
      <c r="H6" s="354">
        <f>D6-G6</f>
        <v>137</v>
      </c>
      <c r="I6" s="273"/>
    </row>
    <row r="7" spans="1:9" ht="12.75">
      <c r="A7" s="290">
        <f>+A8-1</f>
        <v>1998</v>
      </c>
      <c r="B7" s="291">
        <f>'29'!G9</f>
        <v>2757</v>
      </c>
      <c r="C7" s="291">
        <f>'2-3'!C7-'33'!E9</f>
        <v>2013</v>
      </c>
      <c r="D7" s="292">
        <f t="shared" si="0"/>
        <v>2385</v>
      </c>
      <c r="F7" s="364">
        <f t="shared" si="1"/>
        <v>1998</v>
      </c>
      <c r="G7" s="353">
        <f>'33'!B9-'33'!E9</f>
        <v>1955</v>
      </c>
      <c r="H7" s="354">
        <f>D7-G7</f>
        <v>430</v>
      </c>
      <c r="I7" s="273"/>
    </row>
    <row r="8" spans="1:9" ht="12.75">
      <c r="A8" s="290">
        <f>+A9-1</f>
        <v>1999</v>
      </c>
      <c r="B8" s="291">
        <f>'29'!G10</f>
        <v>4889</v>
      </c>
      <c r="C8" s="291">
        <f>'2-3'!C8-'33'!E10</f>
        <v>3609</v>
      </c>
      <c r="D8" s="292">
        <f t="shared" si="0"/>
        <v>4249</v>
      </c>
      <c r="F8" s="364">
        <f t="shared" si="1"/>
        <v>1999</v>
      </c>
      <c r="G8" s="353">
        <f>'33'!B10-'33'!E10</f>
        <v>3367</v>
      </c>
      <c r="H8" s="354">
        <f>D8-G8</f>
        <v>882</v>
      </c>
      <c r="I8" s="273"/>
    </row>
    <row r="9" spans="1:9" ht="12.75">
      <c r="A9" s="290">
        <f>+A10-1</f>
        <v>2000</v>
      </c>
      <c r="B9" s="291">
        <f>'29'!G11</f>
        <v>7937</v>
      </c>
      <c r="C9" s="291">
        <f>'2-3'!C9-'33'!E11</f>
        <v>6367</v>
      </c>
      <c r="D9" s="292">
        <f t="shared" si="0"/>
        <v>7152</v>
      </c>
      <c r="F9" s="364">
        <f t="shared" si="1"/>
        <v>2000</v>
      </c>
      <c r="G9" s="353">
        <f>'33'!B11-'33'!E11</f>
        <v>5604</v>
      </c>
      <c r="H9" s="354">
        <f>D9-G9</f>
        <v>1548</v>
      </c>
      <c r="I9" s="273"/>
    </row>
    <row r="10" spans="1:9" ht="12.75">
      <c r="A10" s="290">
        <f>curryr</f>
        <v>2001</v>
      </c>
      <c r="B10" s="291">
        <f>'29'!G12</f>
        <v>14473</v>
      </c>
      <c r="C10" s="291">
        <f>'2-3'!C10-'33'!E12</f>
        <v>13157</v>
      </c>
      <c r="D10" s="292">
        <f t="shared" si="0"/>
        <v>13815</v>
      </c>
      <c r="F10" s="364">
        <f t="shared" si="1"/>
        <v>2001</v>
      </c>
      <c r="G10" s="353">
        <f>'33'!B12-'33'!E12</f>
        <v>9599</v>
      </c>
      <c r="H10" s="354">
        <f>D10-G10</f>
        <v>4216</v>
      </c>
      <c r="I10" s="273"/>
    </row>
    <row r="11" spans="1:9" ht="12.75">
      <c r="A11" s="293"/>
      <c r="B11" s="294"/>
      <c r="C11" s="295"/>
      <c r="D11" s="296"/>
      <c r="F11" s="273"/>
      <c r="G11" s="273"/>
      <c r="H11" s="273"/>
      <c r="I11" s="273"/>
    </row>
    <row r="12" spans="1:9" ht="12.75">
      <c r="A12" s="21" t="s">
        <v>4</v>
      </c>
      <c r="B12" s="297">
        <f>SUM(B5:B11)</f>
        <v>32241</v>
      </c>
      <c r="C12" s="297">
        <f>SUM(C5:C11)</f>
        <v>27090</v>
      </c>
      <c r="D12" s="298">
        <f>SUM(D5:D11)</f>
        <v>29666</v>
      </c>
      <c r="F12" s="273"/>
      <c r="G12" s="273"/>
      <c r="H12" s="273"/>
      <c r="I12" s="27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1" zoomScaleNormal="81" workbookViewId="0" topLeftCell="A1">
      <selection activeCell="E24" sqref="E24"/>
    </sheetView>
  </sheetViews>
  <sheetFormatPr defaultColWidth="9.140625" defaultRowHeight="12.75"/>
  <cols>
    <col min="6" max="6" width="14.57421875" style="0" customWidth="1"/>
  </cols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8515625" style="0" customWidth="1"/>
  </cols>
  <sheetData>
    <row r="1" spans="1:8" ht="12.75">
      <c r="A1" s="273"/>
      <c r="B1" s="273"/>
      <c r="C1" s="273"/>
      <c r="D1" s="273"/>
      <c r="E1" s="273"/>
      <c r="F1" s="273"/>
      <c r="G1" s="273"/>
      <c r="H1" s="273"/>
    </row>
    <row r="2" spans="1:8" ht="15">
      <c r="A2" s="274"/>
      <c r="B2" s="235" t="s">
        <v>75</v>
      </c>
      <c r="C2" s="236"/>
      <c r="D2" s="236"/>
      <c r="E2" s="236"/>
      <c r="F2" s="236"/>
      <c r="G2" s="237"/>
      <c r="H2" s="275" t="s">
        <v>1</v>
      </c>
    </row>
    <row r="3" spans="1:8" ht="15">
      <c r="A3" s="276" t="s">
        <v>2</v>
      </c>
      <c r="B3" s="240" t="s">
        <v>3</v>
      </c>
      <c r="C3" s="241"/>
      <c r="D3" s="241"/>
      <c r="E3" s="241"/>
      <c r="F3" s="241"/>
      <c r="G3" s="242"/>
      <c r="H3" s="277" t="s">
        <v>168</v>
      </c>
    </row>
    <row r="4" spans="1:8" ht="15">
      <c r="A4" s="278" t="s">
        <v>5</v>
      </c>
      <c r="B4" s="245">
        <v>12</v>
      </c>
      <c r="C4" s="245">
        <v>24</v>
      </c>
      <c r="D4" s="245">
        <v>36</v>
      </c>
      <c r="E4" s="245">
        <v>48</v>
      </c>
      <c r="F4" s="245">
        <v>60</v>
      </c>
      <c r="G4" s="245">
        <v>72</v>
      </c>
      <c r="H4" s="279" t="s">
        <v>83</v>
      </c>
    </row>
    <row r="5" spans="1:8" ht="15">
      <c r="A5" s="280"/>
      <c r="B5" s="280"/>
      <c r="C5" s="280"/>
      <c r="D5" s="280"/>
      <c r="E5" s="280"/>
      <c r="F5" s="280"/>
      <c r="G5" s="280"/>
      <c r="H5" s="280"/>
    </row>
    <row r="6" spans="1:8" ht="15">
      <c r="A6" s="246">
        <f>+A7-1</f>
        <v>1996</v>
      </c>
      <c r="B6" s="281">
        <v>1428</v>
      </c>
      <c r="C6" s="281">
        <v>2772</v>
      </c>
      <c r="D6" s="281">
        <v>2850</v>
      </c>
      <c r="E6" s="281">
        <v>2866</v>
      </c>
      <c r="F6" s="281">
        <v>2870</v>
      </c>
      <c r="G6" s="281">
        <v>2888</v>
      </c>
      <c r="H6" s="282" t="s">
        <v>7</v>
      </c>
    </row>
    <row r="7" spans="1:8" ht="15">
      <c r="A7" s="246">
        <f>+A8-1</f>
        <v>1997</v>
      </c>
      <c r="B7" s="281">
        <v>1710</v>
      </c>
      <c r="C7" s="281">
        <v>3032</v>
      </c>
      <c r="D7" s="281">
        <v>3086</v>
      </c>
      <c r="E7" s="281">
        <v>3094</v>
      </c>
      <c r="F7" s="281">
        <v>3110</v>
      </c>
      <c r="G7" s="281"/>
      <c r="H7" s="282" t="s">
        <v>7</v>
      </c>
    </row>
    <row r="8" spans="1:8" ht="15">
      <c r="A8" s="246">
        <f>+A9-1</f>
        <v>1998</v>
      </c>
      <c r="B8" s="281">
        <v>1358</v>
      </c>
      <c r="C8" s="281">
        <v>2780</v>
      </c>
      <c r="D8" s="281">
        <v>2990</v>
      </c>
      <c r="E8" s="281">
        <v>3000</v>
      </c>
      <c r="F8" s="281"/>
      <c r="G8" s="281"/>
      <c r="H8" s="282" t="s">
        <v>7</v>
      </c>
    </row>
    <row r="9" spans="1:8" ht="15">
      <c r="A9" s="246">
        <f>+A10-1</f>
        <v>1999</v>
      </c>
      <c r="B9" s="281">
        <v>1510</v>
      </c>
      <c r="C9" s="281">
        <v>2588</v>
      </c>
      <c r="D9" s="281">
        <v>2656</v>
      </c>
      <c r="E9" s="281"/>
      <c r="F9" s="281"/>
      <c r="G9" s="281"/>
      <c r="H9" s="282" t="s">
        <v>7</v>
      </c>
    </row>
    <row r="10" spans="1:8" ht="15">
      <c r="A10" s="246">
        <f>+A11-1</f>
        <v>2000</v>
      </c>
      <c r="B10" s="299">
        <v>1488</v>
      </c>
      <c r="C10" s="299">
        <v>2604</v>
      </c>
      <c r="D10" s="281"/>
      <c r="E10" s="281"/>
      <c r="F10" s="281"/>
      <c r="G10" s="281"/>
      <c r="H10" s="282" t="s">
        <v>7</v>
      </c>
    </row>
    <row r="11" spans="1:8" ht="15">
      <c r="A11" s="246">
        <f>curryr</f>
        <v>2001</v>
      </c>
      <c r="B11" s="281">
        <v>1604</v>
      </c>
      <c r="C11" s="281"/>
      <c r="D11" s="281"/>
      <c r="E11" s="281"/>
      <c r="F11" s="281"/>
      <c r="G11" s="281"/>
      <c r="H11" s="282" t="s">
        <v>7</v>
      </c>
    </row>
    <row r="13" spans="1:7" ht="15">
      <c r="A13" s="160" t="s">
        <v>172</v>
      </c>
      <c r="B13" s="160"/>
      <c r="C13" s="160"/>
      <c r="D13" s="160"/>
      <c r="E13" s="160"/>
      <c r="F13" s="160"/>
      <c r="G13" s="157"/>
    </row>
    <row r="14" spans="1:7" ht="15">
      <c r="A14" s="160" t="s">
        <v>76</v>
      </c>
      <c r="B14" s="160"/>
      <c r="C14" s="160"/>
      <c r="D14" s="160"/>
      <c r="E14" s="160"/>
      <c r="F14" s="160"/>
      <c r="G14" s="157"/>
    </row>
    <row r="15" spans="1:8" ht="15">
      <c r="A15" s="160" t="s">
        <v>77</v>
      </c>
      <c r="B15" s="160"/>
      <c r="C15" s="160"/>
      <c r="D15" s="160"/>
      <c r="E15" s="160"/>
      <c r="F15" s="160"/>
      <c r="G15" s="161"/>
      <c r="H15" s="159"/>
    </row>
    <row r="16" spans="1:8" ht="15">
      <c r="A16" s="160" t="s">
        <v>78</v>
      </c>
      <c r="B16" s="160"/>
      <c r="C16" s="160"/>
      <c r="D16" s="160"/>
      <c r="E16" s="160"/>
      <c r="F16" s="160"/>
      <c r="G16" s="161"/>
      <c r="H16" s="159"/>
    </row>
    <row r="17" spans="1:8" ht="15">
      <c r="A17" s="160" t="s">
        <v>79</v>
      </c>
      <c r="B17" s="160"/>
      <c r="C17" s="160"/>
      <c r="D17" s="160"/>
      <c r="E17" s="160"/>
      <c r="F17" s="160"/>
      <c r="G17" s="161"/>
      <c r="H17" s="159"/>
    </row>
    <row r="18" spans="1:8" ht="15">
      <c r="A18" s="160" t="s">
        <v>80</v>
      </c>
      <c r="B18" s="160"/>
      <c r="C18" s="160"/>
      <c r="D18" s="160"/>
      <c r="E18" s="160"/>
      <c r="F18" s="160"/>
      <c r="G18" s="161"/>
      <c r="H18" s="159"/>
    </row>
    <row r="19" spans="1:8" ht="15">
      <c r="A19" s="160" t="s">
        <v>81</v>
      </c>
      <c r="B19" s="160"/>
      <c r="C19" s="160"/>
      <c r="D19" s="160"/>
      <c r="E19" s="160"/>
      <c r="F19" s="160"/>
      <c r="G19" s="161"/>
      <c r="H19" s="159"/>
    </row>
    <row r="20" spans="1:8" ht="12.75">
      <c r="A20" s="158"/>
      <c r="B20" s="158"/>
      <c r="C20" s="158"/>
      <c r="D20" s="158"/>
      <c r="E20" s="158"/>
      <c r="F20" s="158"/>
      <c r="G20" s="158"/>
      <c r="H20" s="159"/>
    </row>
    <row r="21" spans="1:8" ht="12.75">
      <c r="A21" s="159"/>
      <c r="B21" s="159"/>
      <c r="C21" s="159"/>
      <c r="D21" s="159"/>
      <c r="E21" s="159"/>
      <c r="F21" s="159"/>
      <c r="G21" s="159"/>
      <c r="H21" s="159"/>
    </row>
    <row r="22" spans="1:8" ht="12.75">
      <c r="A22" s="159"/>
      <c r="B22" s="159"/>
      <c r="C22" s="159"/>
      <c r="D22" s="159"/>
      <c r="E22" s="159"/>
      <c r="F22" s="159"/>
      <c r="G22" s="159"/>
      <c r="H22" s="159"/>
    </row>
    <row r="23" spans="1:8" ht="12.75">
      <c r="A23" s="159"/>
      <c r="B23" s="159"/>
      <c r="C23" s="159"/>
      <c r="D23" s="159"/>
      <c r="E23" s="159"/>
      <c r="F23" s="159"/>
      <c r="G23" s="159"/>
      <c r="H23" s="159"/>
    </row>
    <row r="24" spans="1:8" ht="12.75">
      <c r="A24" s="159"/>
      <c r="B24" s="159"/>
      <c r="C24" s="159"/>
      <c r="D24" s="159"/>
      <c r="E24" s="159"/>
      <c r="F24" s="159"/>
      <c r="G24" s="159"/>
      <c r="H24" s="159"/>
    </row>
    <row r="25" spans="1:8" ht="12.75">
      <c r="A25" s="159"/>
      <c r="B25" s="159"/>
      <c r="C25" s="159"/>
      <c r="D25" s="159"/>
      <c r="E25" s="159"/>
      <c r="F25" s="159"/>
      <c r="G25" s="159"/>
      <c r="H25" s="159"/>
    </row>
    <row r="26" spans="1:8" ht="12.75">
      <c r="A26" s="159"/>
      <c r="B26" s="159"/>
      <c r="C26" s="159"/>
      <c r="D26" s="159"/>
      <c r="E26" s="159"/>
      <c r="F26" s="159"/>
      <c r="G26" s="159"/>
      <c r="H26" s="159"/>
    </row>
    <row r="27" spans="1:8" ht="12.75">
      <c r="A27" s="159"/>
      <c r="B27" s="159"/>
      <c r="C27" s="159"/>
      <c r="D27" s="159"/>
      <c r="E27" s="159"/>
      <c r="F27" s="159"/>
      <c r="G27" s="159"/>
      <c r="H27" s="159"/>
    </row>
    <row r="28" spans="1:8" ht="12.75">
      <c r="A28" s="159"/>
      <c r="B28" s="159"/>
      <c r="C28" s="159"/>
      <c r="D28" s="159"/>
      <c r="E28" s="159"/>
      <c r="F28" s="159"/>
      <c r="G28" s="159"/>
      <c r="H28" s="159"/>
    </row>
    <row r="29" spans="1:8" ht="12.75">
      <c r="A29" s="159"/>
      <c r="B29" s="159"/>
      <c r="C29" s="159"/>
      <c r="D29" s="159"/>
      <c r="E29" s="159"/>
      <c r="F29" s="159"/>
      <c r="G29" s="159"/>
      <c r="H29" s="159"/>
    </row>
    <row r="30" spans="1:8" ht="12.75">
      <c r="A30" s="159"/>
      <c r="B30" s="159"/>
      <c r="C30" s="159"/>
      <c r="D30" s="159"/>
      <c r="E30" s="159"/>
      <c r="F30" s="159"/>
      <c r="G30" s="159"/>
      <c r="H30" s="159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/>
  <sheetData>
    <row r="1" spans="1:7" ht="12.75">
      <c r="A1" s="15"/>
      <c r="B1" s="11" t="s">
        <v>8</v>
      </c>
      <c r="C1" s="12"/>
      <c r="D1" s="12"/>
      <c r="E1" s="12"/>
      <c r="F1" s="12"/>
      <c r="G1" s="13"/>
    </row>
    <row r="2" spans="1:7" ht="12.75">
      <c r="A2" s="16" t="s">
        <v>2</v>
      </c>
      <c r="B2" s="17"/>
      <c r="C2" s="17"/>
      <c r="D2" s="17"/>
      <c r="E2" s="17"/>
      <c r="F2" s="17"/>
      <c r="G2" s="18" t="s">
        <v>9</v>
      </c>
    </row>
    <row r="3" spans="1:7" ht="12.75">
      <c r="A3" s="146" t="s">
        <v>5</v>
      </c>
      <c r="B3" s="20" t="s">
        <v>10</v>
      </c>
      <c r="C3" s="20" t="s">
        <v>11</v>
      </c>
      <c r="D3" s="20" t="s">
        <v>12</v>
      </c>
      <c r="E3" s="20" t="s">
        <v>13</v>
      </c>
      <c r="F3" s="20" t="s">
        <v>14</v>
      </c>
      <c r="G3" s="21" t="s">
        <v>15</v>
      </c>
    </row>
    <row r="4" spans="1:7" ht="12.75">
      <c r="A4" s="35">
        <f>+A5-1</f>
        <v>1996</v>
      </c>
      <c r="B4" s="23">
        <f>ROUND('2-10'!C6/'2-10'!B6,3)</f>
        <v>1.941</v>
      </c>
      <c r="C4" s="23">
        <f>ROUND('2-10'!D6/'2-10'!C6,3)</f>
        <v>1.028</v>
      </c>
      <c r="D4" s="23">
        <f>ROUND('2-10'!E6/'2-10'!D6,3)</f>
        <v>1.006</v>
      </c>
      <c r="E4" s="23">
        <f>ROUND('2-10'!F6/'2-10'!E6,3)</f>
        <v>1.001</v>
      </c>
      <c r="F4" s="23">
        <f>ROUND('2-10'!G6/'2-10'!F6,3)</f>
        <v>1.006</v>
      </c>
      <c r="G4" s="27" t="s">
        <v>7</v>
      </c>
    </row>
    <row r="5" spans="1:7" ht="12.75">
      <c r="A5" s="35">
        <f>+A6-1</f>
        <v>1997</v>
      </c>
      <c r="B5" s="23">
        <f>ROUND('2-10'!C7/'2-10'!B7,3)</f>
        <v>1.773</v>
      </c>
      <c r="C5" s="23">
        <f>ROUND('2-10'!D7/'2-10'!C7,3)</f>
        <v>1.018</v>
      </c>
      <c r="D5" s="23">
        <f>ROUND('2-10'!E7/'2-10'!D7,3)</f>
        <v>1.003</v>
      </c>
      <c r="E5" s="23">
        <f>ROUND('2-10'!F7/'2-10'!E7,3)</f>
        <v>1.005</v>
      </c>
      <c r="F5" s="23"/>
      <c r="G5" s="24"/>
    </row>
    <row r="6" spans="1:7" ht="12.75">
      <c r="A6" s="35">
        <f>+A7-1</f>
        <v>1998</v>
      </c>
      <c r="B6" s="23">
        <f>ROUND('2-10'!C8/'2-10'!B8,3)</f>
        <v>2.047</v>
      </c>
      <c r="C6" s="23">
        <f>ROUND('2-10'!D8/'2-10'!C8,3)</f>
        <v>1.076</v>
      </c>
      <c r="D6" s="23">
        <f>ROUND('2-10'!E8/'2-10'!D8,3)</f>
        <v>1.003</v>
      </c>
      <c r="E6" s="23"/>
      <c r="F6" s="23"/>
      <c r="G6" s="24"/>
    </row>
    <row r="7" spans="1:7" ht="12.75">
      <c r="A7" s="35">
        <f>+A8-1</f>
        <v>1999</v>
      </c>
      <c r="B7" s="23">
        <f>ROUND('2-10'!C9/'2-10'!B9,3)</f>
        <v>1.714</v>
      </c>
      <c r="C7" s="23">
        <f>ROUND('2-10'!D9/'2-10'!C9,3)</f>
        <v>1.026</v>
      </c>
      <c r="D7" s="23"/>
      <c r="E7" s="23"/>
      <c r="F7" s="23"/>
      <c r="G7" s="24"/>
    </row>
    <row r="8" spans="1:7" ht="12.75">
      <c r="A8" s="35">
        <f>+A9-1</f>
        <v>2000</v>
      </c>
      <c r="B8" s="23">
        <f>ROUND('2-10'!C10/'2-10'!B10,3)</f>
        <v>1.75</v>
      </c>
      <c r="C8" s="23"/>
      <c r="D8" s="23"/>
      <c r="E8" s="23"/>
      <c r="F8" s="23"/>
      <c r="G8" s="24"/>
    </row>
    <row r="9" spans="1:7" ht="12.75">
      <c r="A9" s="36">
        <f>curryr</f>
        <v>2001</v>
      </c>
      <c r="B9" s="39"/>
      <c r="C9" s="25"/>
      <c r="D9" s="25"/>
      <c r="E9" s="25"/>
      <c r="F9" s="25"/>
      <c r="G9" s="26"/>
    </row>
    <row r="10" ht="12.75">
      <c r="A10" t="s">
        <v>19</v>
      </c>
    </row>
    <row r="11" spans="2:6" ht="12.75">
      <c r="B11" s="40">
        <f>AVERAGE(B4:B8)</f>
        <v>1.845</v>
      </c>
      <c r="C11" s="40">
        <f>AVERAGE(C4:C8)</f>
        <v>1.0370000000000001</v>
      </c>
      <c r="D11" s="40">
        <f>AVERAGE(D4:D8)</f>
        <v>1.0039999999999998</v>
      </c>
      <c r="E11" s="40">
        <f>AVERAGE(E4:E8)</f>
        <v>1.003</v>
      </c>
      <c r="F11" s="40">
        <f>AVERAGE(F4:F8)</f>
        <v>1.006</v>
      </c>
    </row>
    <row r="13" ht="12.75">
      <c r="A13" t="s">
        <v>20</v>
      </c>
    </row>
    <row r="14" spans="2:6" ht="12.75">
      <c r="B14" s="40">
        <f>AVERAGE(B6:B8)</f>
        <v>1.837</v>
      </c>
      <c r="C14" s="40">
        <f>AVERAGE(C5:C7)</f>
        <v>1.04</v>
      </c>
      <c r="D14" s="40">
        <f>AVERAGE(D4:D6)</f>
        <v>1.0039999999999998</v>
      </c>
      <c r="E14" s="41" t="s">
        <v>21</v>
      </c>
      <c r="F14" s="41" t="s">
        <v>21</v>
      </c>
    </row>
    <row r="16" ht="12.75">
      <c r="A16" t="s">
        <v>22</v>
      </c>
    </row>
    <row r="17" spans="2:6" ht="12.75">
      <c r="B17" s="147">
        <f>(SUM(B4:B8)-MAX(B4:B8)-MIN(B4:B8))/(COUNT(B4:B8)-2)</f>
        <v>1.8213333333333328</v>
      </c>
      <c r="C17" s="147">
        <f>(SUM(C4:C7)-MAX(C4:C7)-MIN(C4:C7))/(COUNT(C4:C7)-2)</f>
        <v>1.0270000000000001</v>
      </c>
      <c r="D17" s="147">
        <f>(SUM(D4:D6)-MAX(D4:D6)-MIN(D4:D6))/(COUNT(D4:D6)-2)</f>
        <v>1.0029999999999994</v>
      </c>
      <c r="E17" s="41" t="s">
        <v>21</v>
      </c>
      <c r="F17" s="41" t="s">
        <v>21</v>
      </c>
    </row>
    <row r="19" ht="12.75">
      <c r="A19" t="s">
        <v>169</v>
      </c>
    </row>
    <row r="20" spans="2:7" ht="12.75">
      <c r="B20">
        <v>1.821</v>
      </c>
      <c r="C20">
        <v>1.037</v>
      </c>
      <c r="D20">
        <v>1.006</v>
      </c>
      <c r="E20">
        <v>1.004</v>
      </c>
      <c r="F20">
        <v>1.006</v>
      </c>
      <c r="G20" s="147">
        <v>1</v>
      </c>
    </row>
    <row r="22" ht="12.75">
      <c r="A22" t="s">
        <v>82</v>
      </c>
    </row>
    <row r="23" spans="2:7" ht="12.75">
      <c r="B23" s="147">
        <f>B20*C23</f>
        <v>1.918749927594288</v>
      </c>
      <c r="C23" s="147">
        <f>C20*D23</f>
        <v>1.053679257328</v>
      </c>
      <c r="D23" s="147">
        <f>D20*E23</f>
        <v>1.0160841440000001</v>
      </c>
      <c r="E23" s="147">
        <f>E20*F23</f>
        <v>1.010024</v>
      </c>
      <c r="F23" s="147">
        <f>F20*G23</f>
        <v>1.006</v>
      </c>
      <c r="G23" s="147">
        <v>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57421875" style="162" customWidth="1"/>
    <col min="2" max="2" width="13.00390625" style="162" customWidth="1"/>
    <col min="3" max="3" width="15.421875" style="162" customWidth="1"/>
    <col min="4" max="4" width="11.421875" style="162" customWidth="1"/>
    <col min="5" max="5" width="13.140625" style="162" customWidth="1"/>
  </cols>
  <sheetData>
    <row r="1" spans="1:5" ht="15">
      <c r="A1" s="233"/>
      <c r="B1" s="233" t="s">
        <v>36</v>
      </c>
      <c r="C1" s="300"/>
      <c r="D1" s="233" t="s">
        <v>38</v>
      </c>
      <c r="E1" s="275" t="s">
        <v>38</v>
      </c>
    </row>
    <row r="2" spans="1:5" ht="15">
      <c r="A2" s="238"/>
      <c r="B2" s="238" t="s">
        <v>83</v>
      </c>
      <c r="C2" s="280" t="s">
        <v>41</v>
      </c>
      <c r="D2" s="238" t="s">
        <v>15</v>
      </c>
      <c r="E2" s="277" t="s">
        <v>84</v>
      </c>
    </row>
    <row r="3" spans="1:5" ht="15">
      <c r="A3" s="238" t="s">
        <v>43</v>
      </c>
      <c r="B3" s="238" t="s">
        <v>61</v>
      </c>
      <c r="C3" s="280" t="s">
        <v>45</v>
      </c>
      <c r="D3" s="238" t="s">
        <v>83</v>
      </c>
      <c r="E3" s="277" t="s">
        <v>83</v>
      </c>
    </row>
    <row r="4" spans="1:5" ht="15">
      <c r="A4" s="243" t="s">
        <v>5</v>
      </c>
      <c r="B4" s="301" t="str">
        <f>"@ "&amp;curreval</f>
        <v>@ 12/31/01</v>
      </c>
      <c r="C4" s="302" t="s">
        <v>15</v>
      </c>
      <c r="D4" s="301" t="s">
        <v>62</v>
      </c>
      <c r="E4" s="303" t="s">
        <v>85</v>
      </c>
    </row>
    <row r="5" spans="1:5" ht="15">
      <c r="A5" s="282" t="s">
        <v>49</v>
      </c>
      <c r="B5" s="282" t="s">
        <v>50</v>
      </c>
      <c r="C5" s="282" t="s">
        <v>51</v>
      </c>
      <c r="D5" s="282" t="s">
        <v>52</v>
      </c>
      <c r="E5" s="282" t="s">
        <v>53</v>
      </c>
    </row>
    <row r="7" spans="1:5" ht="15">
      <c r="A7" s="246">
        <f>+A8-1</f>
        <v>1996</v>
      </c>
      <c r="B7" s="247">
        <f>'2-10'!G6</f>
        <v>2888</v>
      </c>
      <c r="C7" s="248">
        <f>'2-11'!G23</f>
        <v>1</v>
      </c>
      <c r="D7" s="247">
        <f aca="true" t="shared" si="0" ref="D7:D12">ROUND(C7*B7,0)</f>
        <v>2888</v>
      </c>
      <c r="E7" s="304">
        <v>0</v>
      </c>
    </row>
    <row r="8" spans="1:5" ht="15">
      <c r="A8" s="246">
        <f>+A9-1</f>
        <v>1997</v>
      </c>
      <c r="B8" s="247">
        <f>'2-10'!F7</f>
        <v>3110</v>
      </c>
      <c r="C8" s="248">
        <f>'2-11'!F23</f>
        <v>1.006</v>
      </c>
      <c r="D8" s="247">
        <f t="shared" si="0"/>
        <v>3129</v>
      </c>
      <c r="E8" s="305">
        <f>D8-B8</f>
        <v>19</v>
      </c>
    </row>
    <row r="9" spans="1:5" ht="15">
      <c r="A9" s="246">
        <f>+A10-1</f>
        <v>1998</v>
      </c>
      <c r="B9" s="247">
        <f>'2-10'!E8</f>
        <v>3000</v>
      </c>
      <c r="C9" s="248">
        <f>'2-11'!E23</f>
        <v>1.010024</v>
      </c>
      <c r="D9" s="247">
        <f t="shared" si="0"/>
        <v>3030</v>
      </c>
      <c r="E9" s="305">
        <f>D9-B9</f>
        <v>30</v>
      </c>
    </row>
    <row r="10" spans="1:5" ht="15">
      <c r="A10" s="246">
        <f>+A11-1</f>
        <v>1999</v>
      </c>
      <c r="B10" s="247">
        <f>'2-10'!D9</f>
        <v>2656</v>
      </c>
      <c r="C10" s="248">
        <f>'2-11'!D23</f>
        <v>1.0160841440000001</v>
      </c>
      <c r="D10" s="247">
        <f t="shared" si="0"/>
        <v>2699</v>
      </c>
      <c r="E10" s="305">
        <f>D10-B10</f>
        <v>43</v>
      </c>
    </row>
    <row r="11" spans="1:5" ht="15">
      <c r="A11" s="246">
        <f>+A12-1</f>
        <v>2000</v>
      </c>
      <c r="B11" s="247">
        <f>'2-10'!C10</f>
        <v>2604</v>
      </c>
      <c r="C11" s="248">
        <f>'2-11'!C23</f>
        <v>1.053679257328</v>
      </c>
      <c r="D11" s="247">
        <f t="shared" si="0"/>
        <v>2744</v>
      </c>
      <c r="E11" s="305">
        <f>D11-B11</f>
        <v>140</v>
      </c>
    </row>
    <row r="12" spans="1:5" ht="15">
      <c r="A12" s="246">
        <f>curryr</f>
        <v>2001</v>
      </c>
      <c r="B12" s="247">
        <f>'2-10'!B11</f>
        <v>1604</v>
      </c>
      <c r="C12" s="248">
        <f>'2-11'!B23</f>
        <v>1.918749927594288</v>
      </c>
      <c r="D12" s="247">
        <f t="shared" si="0"/>
        <v>3078</v>
      </c>
      <c r="E12" s="305">
        <f>D12-B12</f>
        <v>1474</v>
      </c>
    </row>
    <row r="14" spans="1:5" ht="15">
      <c r="A14" s="246" t="s">
        <v>4</v>
      </c>
      <c r="B14" s="305">
        <f>SUM(B7:B13)</f>
        <v>15862</v>
      </c>
      <c r="C14" s="305"/>
      <c r="D14" s="305">
        <f>SUM(D7:D13)</f>
        <v>17568</v>
      </c>
      <c r="E14" s="305">
        <f>SUM(E7:E13)</f>
        <v>1706</v>
      </c>
    </row>
    <row r="17" spans="2:4" ht="15">
      <c r="B17"/>
      <c r="C17"/>
      <c r="D17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9.28125" style="0" customWidth="1"/>
    <col min="3" max="7" width="10.57421875" style="0" customWidth="1"/>
  </cols>
  <sheetData>
    <row r="1" spans="1:7" ht="12.75">
      <c r="A1" s="273"/>
      <c r="B1" s="273"/>
      <c r="C1" s="273"/>
      <c r="D1" s="273"/>
      <c r="E1" s="273"/>
      <c r="F1" s="273"/>
      <c r="G1" s="273"/>
    </row>
    <row r="2" spans="1:7" ht="15">
      <c r="A2" s="274"/>
      <c r="B2" s="235" t="s">
        <v>0</v>
      </c>
      <c r="C2" s="236"/>
      <c r="D2" s="236"/>
      <c r="E2" s="236"/>
      <c r="F2" s="236"/>
      <c r="G2" s="237"/>
    </row>
    <row r="3" spans="1:7" ht="15">
      <c r="A3" s="276" t="s">
        <v>2</v>
      </c>
      <c r="B3" s="240" t="s">
        <v>3</v>
      </c>
      <c r="C3" s="241"/>
      <c r="D3" s="241"/>
      <c r="E3" s="241"/>
      <c r="F3" s="241"/>
      <c r="G3" s="242"/>
    </row>
    <row r="4" spans="1:7" ht="15">
      <c r="A4" s="278" t="s">
        <v>5</v>
      </c>
      <c r="B4" s="245">
        <v>12</v>
      </c>
      <c r="C4" s="245">
        <v>24</v>
      </c>
      <c r="D4" s="245">
        <v>36</v>
      </c>
      <c r="E4" s="245">
        <v>48</v>
      </c>
      <c r="F4" s="245">
        <v>60</v>
      </c>
      <c r="G4" s="245">
        <v>72</v>
      </c>
    </row>
    <row r="5" spans="1:7" ht="15">
      <c r="A5" s="280"/>
      <c r="B5" s="280"/>
      <c r="C5" s="280"/>
      <c r="D5" s="280"/>
      <c r="E5" s="280"/>
      <c r="F5" s="280"/>
      <c r="G5" s="280"/>
    </row>
    <row r="6" spans="1:7" ht="15">
      <c r="A6" s="246">
        <f>+A7-1</f>
        <v>1996</v>
      </c>
      <c r="B6" s="281">
        <v>3780</v>
      </c>
      <c r="C6" s="281">
        <v>6671</v>
      </c>
      <c r="D6" s="281">
        <v>8156</v>
      </c>
      <c r="E6" s="281">
        <v>9205</v>
      </c>
      <c r="F6" s="281">
        <v>9990</v>
      </c>
      <c r="G6" s="281">
        <v>10508</v>
      </c>
    </row>
    <row r="7" spans="1:7" ht="15">
      <c r="A7" s="246">
        <f>+A8-1</f>
        <v>1997</v>
      </c>
      <c r="B7" s="283">
        <v>4212</v>
      </c>
      <c r="C7" s="283">
        <v>7541</v>
      </c>
      <c r="D7" s="281">
        <v>9351</v>
      </c>
      <c r="E7" s="281">
        <v>10639</v>
      </c>
      <c r="F7" s="281">
        <v>11536</v>
      </c>
      <c r="G7" s="281"/>
    </row>
    <row r="8" spans="1:7" ht="15">
      <c r="A8" s="246">
        <f>+A9-1</f>
        <v>1998</v>
      </c>
      <c r="B8" s="281">
        <v>4901</v>
      </c>
      <c r="C8" s="281">
        <v>8864</v>
      </c>
      <c r="D8" s="281">
        <v>10987</v>
      </c>
      <c r="E8" s="281">
        <v>12458</v>
      </c>
      <c r="F8" s="281"/>
      <c r="G8" s="281"/>
    </row>
    <row r="9" spans="1:7" ht="15">
      <c r="A9" s="246">
        <f>+A10-1</f>
        <v>1999</v>
      </c>
      <c r="B9" s="281">
        <v>5708</v>
      </c>
      <c r="C9" s="281">
        <v>10268</v>
      </c>
      <c r="D9" s="281">
        <v>12699</v>
      </c>
      <c r="E9" s="281"/>
      <c r="F9" s="281"/>
      <c r="G9" s="281"/>
    </row>
    <row r="10" spans="1:7" ht="15">
      <c r="A10" s="246">
        <f>+A11-1</f>
        <v>2000</v>
      </c>
      <c r="B10" s="284">
        <v>6093</v>
      </c>
      <c r="C10" s="284">
        <v>11172</v>
      </c>
      <c r="D10" s="281"/>
      <c r="E10" s="281"/>
      <c r="F10" s="281"/>
      <c r="G10" s="281"/>
    </row>
    <row r="11" spans="1:7" ht="15">
      <c r="A11" s="246">
        <f>curryr</f>
        <v>2001</v>
      </c>
      <c r="B11" s="281">
        <v>6962</v>
      </c>
      <c r="C11" s="281"/>
      <c r="D11" s="281"/>
      <c r="E11" s="281"/>
      <c r="F11" s="281"/>
      <c r="G11" s="281"/>
    </row>
    <row r="16" ht="15">
      <c r="A16" s="246"/>
    </row>
    <row r="17" ht="15">
      <c r="A17" s="246"/>
    </row>
    <row r="18" ht="15">
      <c r="A18" s="246"/>
    </row>
    <row r="19" ht="15">
      <c r="A19" s="246"/>
    </row>
    <row r="20" ht="15">
      <c r="A20" s="246"/>
    </row>
    <row r="21" ht="15">
      <c r="A21" s="246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28125" style="143" customWidth="1"/>
    <col min="2" max="2" width="12.7109375" style="144" customWidth="1"/>
    <col min="3" max="5" width="11.28125" style="0" customWidth="1"/>
    <col min="6" max="8" width="9.8515625" style="0" customWidth="1"/>
  </cols>
  <sheetData>
    <row r="1" spans="1:8" ht="15">
      <c r="A1" s="233"/>
      <c r="B1" s="234"/>
      <c r="C1" s="235" t="s">
        <v>86</v>
      </c>
      <c r="D1" s="236"/>
      <c r="E1" s="237"/>
      <c r="F1" s="235" t="s">
        <v>87</v>
      </c>
      <c r="G1" s="236"/>
      <c r="H1" s="237"/>
    </row>
    <row r="2" spans="1:8" ht="15">
      <c r="A2" s="238" t="s">
        <v>2</v>
      </c>
      <c r="B2" s="239" t="s">
        <v>88</v>
      </c>
      <c r="C2" s="240" t="s">
        <v>89</v>
      </c>
      <c r="D2" s="241"/>
      <c r="E2" s="242"/>
      <c r="F2" s="240" t="s">
        <v>89</v>
      </c>
      <c r="G2" s="241"/>
      <c r="H2" s="242"/>
    </row>
    <row r="3" spans="1:8" ht="15">
      <c r="A3" s="243" t="s">
        <v>5</v>
      </c>
      <c r="B3" s="244" t="s">
        <v>90</v>
      </c>
      <c r="C3" s="245" t="s">
        <v>91</v>
      </c>
      <c r="D3" s="245" t="s">
        <v>92</v>
      </c>
      <c r="E3" s="245" t="s">
        <v>40</v>
      </c>
      <c r="F3" s="245" t="s">
        <v>91</v>
      </c>
      <c r="G3" s="245" t="s">
        <v>92</v>
      </c>
      <c r="H3" s="245" t="s">
        <v>40</v>
      </c>
    </row>
    <row r="4" spans="1:14" ht="15">
      <c r="A4" s="246"/>
      <c r="B4" s="247"/>
      <c r="C4" s="162"/>
      <c r="D4" s="162"/>
      <c r="E4" s="162"/>
      <c r="F4" s="162"/>
      <c r="G4" s="162"/>
      <c r="H4" s="162"/>
      <c r="J4" s="273" t="s">
        <v>72</v>
      </c>
      <c r="K4" s="273" t="s">
        <v>93</v>
      </c>
      <c r="L4" s="273" t="s">
        <v>94</v>
      </c>
      <c r="M4" s="273" t="s">
        <v>40</v>
      </c>
      <c r="N4" s="273"/>
    </row>
    <row r="5" spans="1:13" ht="15">
      <c r="A5" s="246">
        <f>+A6-1</f>
        <v>1996</v>
      </c>
      <c r="B5" s="247">
        <v>18168</v>
      </c>
      <c r="C5" s="247">
        <f>'2-3'!B5</f>
        <v>11244</v>
      </c>
      <c r="D5" s="247">
        <f>'2-3'!C5</f>
        <v>11250</v>
      </c>
      <c r="E5" s="247">
        <f>'2-3'!D5</f>
        <v>11247</v>
      </c>
      <c r="F5" s="248">
        <f aca="true" t="shared" si="0" ref="F5:H10">C5/$B5</f>
        <v>0.6188903566710701</v>
      </c>
      <c r="G5" s="248">
        <f t="shared" si="0"/>
        <v>0.619220607661823</v>
      </c>
      <c r="H5" s="248">
        <f t="shared" si="0"/>
        <v>0.6190554821664465</v>
      </c>
      <c r="J5" s="273">
        <f aca="true" t="shared" si="1" ref="J5:J10">A5</f>
        <v>1996</v>
      </c>
      <c r="K5" s="365">
        <f aca="true" t="shared" si="2" ref="K5:M10">F5</f>
        <v>0.6188903566710701</v>
      </c>
      <c r="L5" s="365">
        <f t="shared" si="2"/>
        <v>0.619220607661823</v>
      </c>
      <c r="M5" s="365">
        <f t="shared" si="2"/>
        <v>0.6190554821664465</v>
      </c>
    </row>
    <row r="6" spans="1:13" ht="15">
      <c r="A6" s="246">
        <f>+A7-1</f>
        <v>1997</v>
      </c>
      <c r="B6" s="247">
        <v>21995</v>
      </c>
      <c r="C6" s="247">
        <f>'2-3'!B6</f>
        <v>12985</v>
      </c>
      <c r="D6" s="247">
        <f>'2-3'!C6</f>
        <v>12738</v>
      </c>
      <c r="E6" s="247">
        <f>'2-3'!D6</f>
        <v>12862</v>
      </c>
      <c r="F6" s="248">
        <f t="shared" si="0"/>
        <v>0.5903614457831325</v>
      </c>
      <c r="G6" s="248">
        <f t="shared" si="0"/>
        <v>0.5791316208229143</v>
      </c>
      <c r="H6" s="248">
        <f t="shared" si="0"/>
        <v>0.5847692657422141</v>
      </c>
      <c r="J6" s="273">
        <f t="shared" si="1"/>
        <v>1997</v>
      </c>
      <c r="K6" s="365">
        <f t="shared" si="2"/>
        <v>0.5903614457831325</v>
      </c>
      <c r="L6" s="365">
        <f t="shared" si="2"/>
        <v>0.5791316208229143</v>
      </c>
      <c r="M6" s="365">
        <f t="shared" si="2"/>
        <v>0.5847692657422141</v>
      </c>
    </row>
    <row r="7" spans="1:13" ht="15">
      <c r="A7" s="246">
        <f>+A8-1</f>
        <v>1998</v>
      </c>
      <c r="B7" s="247">
        <v>24173</v>
      </c>
      <c r="C7" s="247">
        <f>'2-3'!B7</f>
        <v>15215</v>
      </c>
      <c r="D7" s="247">
        <f>'2-3'!C7</f>
        <v>14471</v>
      </c>
      <c r="E7" s="247">
        <f>'2-3'!D7</f>
        <v>14843</v>
      </c>
      <c r="F7" s="248">
        <f t="shared" si="0"/>
        <v>0.629421255119348</v>
      </c>
      <c r="G7" s="248">
        <f t="shared" si="0"/>
        <v>0.5986431142183428</v>
      </c>
      <c r="H7" s="248">
        <f t="shared" si="0"/>
        <v>0.6140321846688455</v>
      </c>
      <c r="J7" s="273">
        <f t="shared" si="1"/>
        <v>1998</v>
      </c>
      <c r="K7" s="365">
        <f t="shared" si="2"/>
        <v>0.629421255119348</v>
      </c>
      <c r="L7" s="365">
        <f t="shared" si="2"/>
        <v>0.5986431142183428</v>
      </c>
      <c r="M7" s="365">
        <f t="shared" si="2"/>
        <v>0.6140321846688455</v>
      </c>
    </row>
    <row r="8" spans="1:13" ht="15">
      <c r="A8" s="246">
        <f>+A9-1</f>
        <v>1999</v>
      </c>
      <c r="B8" s="247">
        <v>25534</v>
      </c>
      <c r="C8" s="247">
        <f>'2-3'!B8</f>
        <v>17588</v>
      </c>
      <c r="D8" s="247">
        <f>'2-3'!C8</f>
        <v>16308</v>
      </c>
      <c r="E8" s="247">
        <f>'2-3'!D8</f>
        <v>16948</v>
      </c>
      <c r="F8" s="248">
        <f t="shared" si="0"/>
        <v>0.6888070807550717</v>
      </c>
      <c r="G8" s="248">
        <f t="shared" si="0"/>
        <v>0.6386778413096263</v>
      </c>
      <c r="H8" s="248">
        <f t="shared" si="0"/>
        <v>0.663742461032349</v>
      </c>
      <c r="J8" s="273">
        <f t="shared" si="1"/>
        <v>1999</v>
      </c>
      <c r="K8" s="365">
        <f t="shared" si="2"/>
        <v>0.6888070807550717</v>
      </c>
      <c r="L8" s="365">
        <f t="shared" si="2"/>
        <v>0.6386778413096263</v>
      </c>
      <c r="M8" s="365">
        <f t="shared" si="2"/>
        <v>0.663742461032349</v>
      </c>
    </row>
    <row r="9" spans="1:13" ht="15">
      <c r="A9" s="246">
        <f>+A10-1</f>
        <v>2000</v>
      </c>
      <c r="B9" s="247">
        <v>31341</v>
      </c>
      <c r="C9" s="247">
        <f>'2-3'!B9</f>
        <v>19109</v>
      </c>
      <c r="D9" s="247">
        <f>'2-3'!C9</f>
        <v>17539</v>
      </c>
      <c r="E9" s="247">
        <f>'2-3'!D9</f>
        <v>18324</v>
      </c>
      <c r="F9" s="248">
        <f t="shared" si="0"/>
        <v>0.609712517150059</v>
      </c>
      <c r="G9" s="248">
        <f t="shared" si="0"/>
        <v>0.5596183912446955</v>
      </c>
      <c r="H9" s="248">
        <f t="shared" si="0"/>
        <v>0.5846654541973773</v>
      </c>
      <c r="J9" s="273">
        <f t="shared" si="1"/>
        <v>2000</v>
      </c>
      <c r="K9" s="365">
        <f t="shared" si="2"/>
        <v>0.609712517150059</v>
      </c>
      <c r="L9" s="365">
        <f t="shared" si="2"/>
        <v>0.5596183912446955</v>
      </c>
      <c r="M9" s="365">
        <f t="shared" si="2"/>
        <v>0.5846654541973773</v>
      </c>
    </row>
    <row r="10" spans="1:13" ht="15">
      <c r="A10" s="246">
        <f>curryr</f>
        <v>2001</v>
      </c>
      <c r="B10" s="247">
        <v>38469</v>
      </c>
      <c r="C10" s="247">
        <f>'2-3'!B10</f>
        <v>21435</v>
      </c>
      <c r="D10" s="247">
        <f>'2-3'!C10</f>
        <v>20119</v>
      </c>
      <c r="E10" s="247">
        <f>'2-3'!D10</f>
        <v>20777</v>
      </c>
      <c r="F10" s="248">
        <f t="shared" si="0"/>
        <v>0.5572019028308508</v>
      </c>
      <c r="G10" s="248">
        <f t="shared" si="0"/>
        <v>0.5229925394473472</v>
      </c>
      <c r="H10" s="248">
        <f t="shared" si="0"/>
        <v>0.540097221139099</v>
      </c>
      <c r="J10" s="273">
        <f t="shared" si="1"/>
        <v>2001</v>
      </c>
      <c r="K10" s="365">
        <f t="shared" si="2"/>
        <v>0.5572019028308508</v>
      </c>
      <c r="L10" s="365">
        <f t="shared" si="2"/>
        <v>0.5229925394473472</v>
      </c>
      <c r="M10" s="365">
        <f t="shared" si="2"/>
        <v>0.540097221139099</v>
      </c>
    </row>
    <row r="11" spans="1:8" ht="15">
      <c r="A11" s="246"/>
      <c r="B11" s="247"/>
      <c r="C11" s="162"/>
      <c r="D11" s="162"/>
      <c r="E11" s="162"/>
      <c r="F11" s="162"/>
      <c r="G11" s="162"/>
      <c r="H11" s="162"/>
    </row>
    <row r="12" spans="1:8" ht="15">
      <c r="A12" s="246" t="s">
        <v>4</v>
      </c>
      <c r="B12" s="247">
        <f>SUM(B5:B11)</f>
        <v>159680</v>
      </c>
      <c r="C12" s="247">
        <f>SUM(C5:C11)</f>
        <v>97576</v>
      </c>
      <c r="D12" s="247">
        <f>SUM(D5:D11)</f>
        <v>92425</v>
      </c>
      <c r="E12" s="247">
        <f>SUM(E5:E11)</f>
        <v>95001</v>
      </c>
      <c r="F12" s="248">
        <f>C12/$B12</f>
        <v>0.6110721442885771</v>
      </c>
      <c r="G12" s="248">
        <f>D12/$B12</f>
        <v>0.5788138777555111</v>
      </c>
      <c r="H12" s="248">
        <f>E12/$B12</f>
        <v>0.5949461422845691</v>
      </c>
    </row>
    <row r="13" spans="1:8" ht="15">
      <c r="A13" s="246"/>
      <c r="B13" s="247"/>
      <c r="C13" s="162"/>
      <c r="D13" s="162"/>
      <c r="E13" s="162"/>
      <c r="F13" s="162"/>
      <c r="G13" s="162"/>
      <c r="H13" s="162"/>
    </row>
    <row r="14" spans="1:8" ht="15">
      <c r="A14" s="246"/>
      <c r="B14" s="247"/>
      <c r="C14" s="162"/>
      <c r="D14" s="162"/>
      <c r="E14" s="162"/>
      <c r="F14" s="162"/>
      <c r="G14" s="162"/>
      <c r="H14" s="162"/>
    </row>
    <row r="15" spans="1:8" ht="15">
      <c r="A15" s="246"/>
      <c r="B15" s="247"/>
      <c r="C15" s="162"/>
      <c r="D15" s="162"/>
      <c r="E15" s="162"/>
      <c r="F15" s="162"/>
      <c r="G15" s="162"/>
      <c r="H15" s="162"/>
    </row>
    <row r="16" spans="1:8" ht="15">
      <c r="A16" s="246"/>
      <c r="B16" s="247"/>
      <c r="C16" s="162"/>
      <c r="D16" s="162"/>
      <c r="E16" s="162"/>
      <c r="F16" s="162"/>
      <c r="G16" s="162"/>
      <c r="H16" s="162"/>
    </row>
  </sheetData>
  <printOptions/>
  <pageMargins left="0.75" right="0.75" top="1" bottom="1" header="0.5" footer="0.5"/>
  <pageSetup horizontalDpi="360" verticalDpi="36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="50" zoomScaleNormal="50" workbookViewId="0" topLeftCell="A1">
      <selection activeCell="A1" sqref="A1"/>
    </sheetView>
  </sheetViews>
  <sheetFormatPr defaultColWidth="9.140625" defaultRowHeight="12.75"/>
  <cols>
    <col min="1" max="4" width="20.57421875" style="0" customWidth="1"/>
    <col min="5" max="5" width="15.421875" style="0" customWidth="1"/>
  </cols>
  <sheetData>
    <row r="1" spans="1:5" ht="25.5" customHeight="1">
      <c r="A1" s="182"/>
      <c r="B1" s="182" t="s">
        <v>15</v>
      </c>
      <c r="C1" s="182"/>
      <c r="D1" s="182" t="s">
        <v>95</v>
      </c>
      <c r="E1" s="246"/>
    </row>
    <row r="2" spans="1:5" ht="25.5" customHeight="1">
      <c r="A2" s="183" t="s">
        <v>2</v>
      </c>
      <c r="B2" s="183" t="s">
        <v>95</v>
      </c>
      <c r="C2" s="183" t="s">
        <v>88</v>
      </c>
      <c r="D2" s="183" t="s">
        <v>96</v>
      </c>
      <c r="E2" s="246"/>
    </row>
    <row r="3" spans="1:5" ht="25.5" customHeight="1">
      <c r="A3" s="184" t="s">
        <v>5</v>
      </c>
      <c r="B3" s="184" t="s">
        <v>97</v>
      </c>
      <c r="C3" s="184" t="s">
        <v>98</v>
      </c>
      <c r="D3" s="185" t="s">
        <v>99</v>
      </c>
      <c r="E3" s="246"/>
    </row>
    <row r="4" spans="1:5" ht="25.5" customHeight="1">
      <c r="A4" s="186" t="s">
        <v>49</v>
      </c>
      <c r="B4" s="186" t="s">
        <v>50</v>
      </c>
      <c r="C4" s="186" t="s">
        <v>51</v>
      </c>
      <c r="D4" s="186" t="s">
        <v>52</v>
      </c>
      <c r="E4" s="246"/>
    </row>
    <row r="5" spans="1:5" ht="25.5" customHeight="1">
      <c r="A5" s="187"/>
      <c r="B5" s="188"/>
      <c r="C5" s="188"/>
      <c r="D5" s="188"/>
      <c r="E5" s="162"/>
    </row>
    <row r="6" spans="1:5" ht="25.5" customHeight="1">
      <c r="A6" s="187">
        <f>+A7-1</f>
        <v>1996</v>
      </c>
      <c r="B6" s="370">
        <f>'2-12'!D7</f>
        <v>2888</v>
      </c>
      <c r="C6" s="371">
        <v>102</v>
      </c>
      <c r="D6" s="372">
        <f aca="true" t="shared" si="0" ref="D6:D11">B6/C6</f>
        <v>28.313725490196077</v>
      </c>
      <c r="E6" s="162"/>
    </row>
    <row r="7" spans="1:7" ht="25.5" customHeight="1">
      <c r="A7" s="187">
        <f>+A8-1</f>
        <v>1997</v>
      </c>
      <c r="B7" s="370">
        <f>'2-12'!D8</f>
        <v>3129</v>
      </c>
      <c r="C7" s="371">
        <v>98</v>
      </c>
      <c r="D7" s="372">
        <f t="shared" si="0"/>
        <v>31.928571428571427</v>
      </c>
      <c r="E7" s="162"/>
      <c r="G7" s="187"/>
    </row>
    <row r="8" spans="1:7" ht="25.5" customHeight="1">
      <c r="A8" s="187">
        <f>+A9-1</f>
        <v>1998</v>
      </c>
      <c r="B8" s="370">
        <f>'2-12'!D9</f>
        <v>3030</v>
      </c>
      <c r="C8" s="371">
        <v>103</v>
      </c>
      <c r="D8" s="372">
        <f t="shared" si="0"/>
        <v>29.41747572815534</v>
      </c>
      <c r="E8" s="162"/>
      <c r="G8" s="187"/>
    </row>
    <row r="9" spans="1:7" ht="25.5" customHeight="1">
      <c r="A9" s="187">
        <f>+A10-1</f>
        <v>1999</v>
      </c>
      <c r="B9" s="370">
        <f>'2-12'!D10</f>
        <v>2699</v>
      </c>
      <c r="C9" s="371">
        <v>105</v>
      </c>
      <c r="D9" s="372">
        <f t="shared" si="0"/>
        <v>25.704761904761906</v>
      </c>
      <c r="E9" s="162"/>
      <c r="G9" s="187"/>
    </row>
    <row r="10" spans="1:7" ht="25.5" customHeight="1">
      <c r="A10" s="187">
        <f>+A11-1</f>
        <v>2000</v>
      </c>
      <c r="B10" s="370">
        <f>'2-12'!D11</f>
        <v>2744</v>
      </c>
      <c r="C10" s="371">
        <v>109</v>
      </c>
      <c r="D10" s="372">
        <f t="shared" si="0"/>
        <v>25.174311926605505</v>
      </c>
      <c r="E10" s="162"/>
      <c r="G10" s="187"/>
    </row>
    <row r="11" spans="1:7" ht="25.5" customHeight="1">
      <c r="A11" s="187">
        <f>curryr</f>
        <v>2001</v>
      </c>
      <c r="B11" s="370">
        <f>'2-12'!D12</f>
        <v>3078</v>
      </c>
      <c r="C11" s="371">
        <v>118</v>
      </c>
      <c r="D11" s="372">
        <f t="shared" si="0"/>
        <v>26.084745762711865</v>
      </c>
      <c r="E11" s="162"/>
      <c r="G11" s="187"/>
    </row>
    <row r="12" spans="1:7" ht="18">
      <c r="A12" s="162"/>
      <c r="B12" s="162"/>
      <c r="C12" s="162"/>
      <c r="D12" s="373"/>
      <c r="E12" s="162"/>
      <c r="G12" s="187"/>
    </row>
    <row r="13" spans="1:5" ht="18.75" customHeight="1">
      <c r="A13" s="189" t="s">
        <v>100</v>
      </c>
      <c r="B13" s="190"/>
      <c r="C13" s="190"/>
      <c r="D13" s="374"/>
      <c r="E13" s="181"/>
    </row>
    <row r="14" spans="1:10" ht="18.75" customHeight="1">
      <c r="A14" s="191" t="s">
        <v>101</v>
      </c>
      <c r="B14" s="190"/>
      <c r="C14" s="190"/>
      <c r="D14" s="249"/>
      <c r="E14" s="181"/>
      <c r="J14" s="375"/>
    </row>
    <row r="15" spans="1:5" ht="18.75" customHeight="1">
      <c r="A15" s="191" t="s">
        <v>102</v>
      </c>
      <c r="B15" s="190"/>
      <c r="C15" s="190"/>
      <c r="D15" s="249"/>
      <c r="E15" s="181"/>
    </row>
    <row r="16" spans="1:5" ht="18.75" customHeight="1">
      <c r="A16" s="191" t="s">
        <v>103</v>
      </c>
      <c r="B16" s="190"/>
      <c r="C16" s="190"/>
      <c r="D16" s="249"/>
      <c r="E16" s="181"/>
    </row>
    <row r="17" spans="4:5" ht="12.75">
      <c r="D17" s="180"/>
      <c r="E17" s="180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 topLeftCell="A1">
      <selection activeCell="A1" sqref="A1"/>
    </sheetView>
  </sheetViews>
  <sheetFormatPr defaultColWidth="9.140625" defaultRowHeight="12.75"/>
  <sheetData>
    <row r="1" spans="1:8" ht="12.75">
      <c r="A1" s="34"/>
      <c r="B1" s="34" t="s">
        <v>15</v>
      </c>
      <c r="C1" s="11" t="s">
        <v>86</v>
      </c>
      <c r="D1" s="12"/>
      <c r="E1" s="13"/>
      <c r="F1" s="12" t="s">
        <v>104</v>
      </c>
      <c r="G1" s="12"/>
      <c r="H1" s="13"/>
    </row>
    <row r="2" spans="1:8" ht="12.75">
      <c r="A2" s="35" t="s">
        <v>43</v>
      </c>
      <c r="B2" s="35" t="s">
        <v>105</v>
      </c>
      <c r="C2" s="155" t="s">
        <v>89</v>
      </c>
      <c r="D2" s="148"/>
      <c r="E2" s="149"/>
      <c r="F2" s="148" t="s">
        <v>89</v>
      </c>
      <c r="G2" s="148"/>
      <c r="H2" s="149"/>
    </row>
    <row r="3" spans="1:8" ht="12.75">
      <c r="A3" s="36" t="s">
        <v>5</v>
      </c>
      <c r="B3" s="36" t="s">
        <v>97</v>
      </c>
      <c r="C3" s="153" t="s">
        <v>91</v>
      </c>
      <c r="D3" s="153" t="s">
        <v>92</v>
      </c>
      <c r="E3" s="153" t="s">
        <v>40</v>
      </c>
      <c r="F3" s="153" t="s">
        <v>91</v>
      </c>
      <c r="G3" s="153" t="s">
        <v>92</v>
      </c>
      <c r="H3" s="153" t="s">
        <v>40</v>
      </c>
    </row>
    <row r="4" spans="1:8" ht="12.75">
      <c r="A4" s="14" t="s">
        <v>49</v>
      </c>
      <c r="B4" s="14" t="s">
        <v>50</v>
      </c>
      <c r="C4" s="14" t="s">
        <v>51</v>
      </c>
      <c r="D4" s="14" t="s">
        <v>52</v>
      </c>
      <c r="E4" s="156" t="s">
        <v>53</v>
      </c>
      <c r="F4" s="156" t="s">
        <v>54</v>
      </c>
      <c r="G4" s="156" t="s">
        <v>55</v>
      </c>
      <c r="H4" s="156" t="s">
        <v>106</v>
      </c>
    </row>
    <row r="5" ht="12.75">
      <c r="B5" s="154"/>
    </row>
    <row r="6" spans="1:10" ht="12.75">
      <c r="A6" s="143">
        <f>+A7-1</f>
        <v>1996</v>
      </c>
      <c r="B6" s="144">
        <f>'2-16'!B6</f>
        <v>2888</v>
      </c>
      <c r="C6" s="144">
        <f>'2-14'!C5</f>
        <v>11244</v>
      </c>
      <c r="D6" s="144">
        <f>'2-14'!D5</f>
        <v>11250</v>
      </c>
      <c r="E6" s="144">
        <f>'2-14'!E5</f>
        <v>11247</v>
      </c>
      <c r="F6" s="144">
        <f aca="true" t="shared" si="0" ref="F6:H11">C6/$B6*1000</f>
        <v>3893.3518005540163</v>
      </c>
      <c r="G6" s="144">
        <f t="shared" si="0"/>
        <v>3895.4293628808864</v>
      </c>
      <c r="H6" s="144">
        <f t="shared" si="0"/>
        <v>3894.3905817174514</v>
      </c>
      <c r="J6" s="143"/>
    </row>
    <row r="7" spans="1:10" ht="12.75">
      <c r="A7" s="143">
        <f>+A8-1</f>
        <v>1997</v>
      </c>
      <c r="B7" s="144">
        <f>'2-16'!B7</f>
        <v>3129</v>
      </c>
      <c r="C7" s="144">
        <f>'2-14'!C6</f>
        <v>12985</v>
      </c>
      <c r="D7" s="144">
        <f>'2-14'!D6</f>
        <v>12738</v>
      </c>
      <c r="E7" s="144">
        <f>'2-14'!E6</f>
        <v>12862</v>
      </c>
      <c r="F7" s="144">
        <f t="shared" si="0"/>
        <v>4149.888143176733</v>
      </c>
      <c r="G7" s="144">
        <f t="shared" si="0"/>
        <v>4070.949185043145</v>
      </c>
      <c r="H7" s="144">
        <f t="shared" si="0"/>
        <v>4110.578459571748</v>
      </c>
      <c r="J7" s="143"/>
    </row>
    <row r="8" spans="1:10" ht="12.75">
      <c r="A8" s="143">
        <f>+A9-1</f>
        <v>1998</v>
      </c>
      <c r="B8" s="144">
        <f>'2-16'!B8</f>
        <v>3030</v>
      </c>
      <c r="C8" s="144">
        <f>'2-14'!C7</f>
        <v>15215</v>
      </c>
      <c r="D8" s="144">
        <f>'2-14'!D7</f>
        <v>14471</v>
      </c>
      <c r="E8" s="144">
        <f>'2-14'!E7</f>
        <v>14843</v>
      </c>
      <c r="F8" s="144">
        <f t="shared" si="0"/>
        <v>5021.452145214521</v>
      </c>
      <c r="G8" s="144">
        <f t="shared" si="0"/>
        <v>4775.907590759076</v>
      </c>
      <c r="H8" s="144">
        <f t="shared" si="0"/>
        <v>4898.679867986799</v>
      </c>
      <c r="J8" s="143"/>
    </row>
    <row r="9" spans="1:10" ht="12.75">
      <c r="A9" s="143">
        <f>+A10-1</f>
        <v>1999</v>
      </c>
      <c r="B9" s="144">
        <f>'2-16'!B9</f>
        <v>2699</v>
      </c>
      <c r="C9" s="144">
        <f>'2-14'!C8</f>
        <v>17588</v>
      </c>
      <c r="D9" s="144">
        <f>'2-14'!D8</f>
        <v>16308</v>
      </c>
      <c r="E9" s="144">
        <f>'2-14'!E8</f>
        <v>16948</v>
      </c>
      <c r="F9" s="144">
        <f t="shared" si="0"/>
        <v>6516.487587995554</v>
      </c>
      <c r="G9" s="144">
        <f t="shared" si="0"/>
        <v>6042.237865876251</v>
      </c>
      <c r="H9" s="144">
        <f t="shared" si="0"/>
        <v>6279.362726935902</v>
      </c>
      <c r="J9" s="143"/>
    </row>
    <row r="10" spans="1:10" ht="12.75">
      <c r="A10" s="143">
        <f>+A11-1</f>
        <v>2000</v>
      </c>
      <c r="B10" s="144">
        <f>'2-16'!B10</f>
        <v>2744</v>
      </c>
      <c r="C10" s="144">
        <f>'2-14'!C9</f>
        <v>19109</v>
      </c>
      <c r="D10" s="144">
        <f>'2-14'!D9</f>
        <v>17539</v>
      </c>
      <c r="E10" s="144">
        <f>'2-14'!E9</f>
        <v>18324</v>
      </c>
      <c r="F10" s="144">
        <f t="shared" si="0"/>
        <v>6963.921282798834</v>
      </c>
      <c r="G10" s="144">
        <f t="shared" si="0"/>
        <v>6391.763848396502</v>
      </c>
      <c r="H10" s="144">
        <f t="shared" si="0"/>
        <v>6677.842565597667</v>
      </c>
      <c r="J10" s="143"/>
    </row>
    <row r="11" spans="1:10" ht="12.75">
      <c r="A11" s="143">
        <f>curryr</f>
        <v>2001</v>
      </c>
      <c r="B11" s="144">
        <f>'2-16'!B11</f>
        <v>3078</v>
      </c>
      <c r="C11" s="144">
        <f>'2-14'!C10</f>
        <v>21435</v>
      </c>
      <c r="D11" s="144">
        <f>'2-14'!D10</f>
        <v>20119</v>
      </c>
      <c r="E11" s="144">
        <f>'2-14'!E10</f>
        <v>20777</v>
      </c>
      <c r="F11" s="144">
        <f t="shared" si="0"/>
        <v>6963.937621832359</v>
      </c>
      <c r="G11" s="144">
        <f t="shared" si="0"/>
        <v>6536.38726445744</v>
      </c>
      <c r="H11" s="144">
        <f t="shared" si="0"/>
        <v>6750.162443144899</v>
      </c>
      <c r="J11" s="143"/>
    </row>
  </sheetData>
  <printOptions/>
  <pageMargins left="0.75" right="0.75" top="1" bottom="1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1" sqref="A1"/>
    </sheetView>
  </sheetViews>
  <sheetFormatPr defaultColWidth="9.140625" defaultRowHeight="12.75"/>
  <cols>
    <col min="5" max="5" width="10.00390625" style="0" customWidth="1"/>
  </cols>
  <sheetData>
    <row r="1" spans="1:5" ht="12.75">
      <c r="A1" s="165"/>
      <c r="B1" s="1"/>
      <c r="C1" s="163" t="s">
        <v>107</v>
      </c>
      <c r="D1" s="174"/>
      <c r="E1" s="164"/>
    </row>
    <row r="2" spans="1:5" ht="12.75">
      <c r="A2" s="35"/>
      <c r="B2" s="19" t="s">
        <v>88</v>
      </c>
      <c r="C2" s="34"/>
      <c r="D2" s="9" t="s">
        <v>108</v>
      </c>
      <c r="E2" s="10"/>
    </row>
    <row r="3" spans="1:5" ht="12.75">
      <c r="A3" s="35" t="s">
        <v>2</v>
      </c>
      <c r="B3" s="19" t="s">
        <v>109</v>
      </c>
      <c r="C3" s="35" t="s">
        <v>61</v>
      </c>
      <c r="D3" s="10" t="s">
        <v>90</v>
      </c>
      <c r="E3" s="10" t="s">
        <v>110</v>
      </c>
    </row>
    <row r="4" spans="1:5" ht="12.75">
      <c r="A4" s="36" t="s">
        <v>5</v>
      </c>
      <c r="B4" s="166" t="s">
        <v>111</v>
      </c>
      <c r="C4" s="36" t="s">
        <v>44</v>
      </c>
      <c r="D4" s="167" t="s">
        <v>112</v>
      </c>
      <c r="E4" s="167" t="s">
        <v>113</v>
      </c>
    </row>
    <row r="5" spans="1:11" ht="12.75">
      <c r="A5" s="34"/>
      <c r="B5" s="165"/>
      <c r="C5" s="1"/>
      <c r="D5" s="1"/>
      <c r="E5" s="2"/>
      <c r="G5" s="273"/>
      <c r="H5" s="273" t="s">
        <v>114</v>
      </c>
      <c r="I5" s="273" t="s">
        <v>115</v>
      </c>
      <c r="J5" s="273"/>
      <c r="K5" s="273"/>
    </row>
    <row r="6" spans="1:11" ht="12.75">
      <c r="A6" s="35">
        <f>+A7-1</f>
        <v>1996</v>
      </c>
      <c r="B6" s="204">
        <f>'2-16'!C6</f>
        <v>102</v>
      </c>
      <c r="C6" s="168">
        <f>'31'!B15</f>
        <v>9337</v>
      </c>
      <c r="D6" s="169">
        <f aca="true" t="shared" si="0" ref="D6:D11">C6/B6</f>
        <v>91.53921568627452</v>
      </c>
      <c r="E6" s="5"/>
      <c r="G6" s="337">
        <f aca="true" t="shared" si="1" ref="G6:G11">+A6</f>
        <v>1996</v>
      </c>
      <c r="H6" s="366">
        <f aca="true" t="shared" si="2" ref="H6:H11">D6</f>
        <v>91.53921568627452</v>
      </c>
      <c r="I6" s="366">
        <f aca="true" t="shared" si="3" ref="I6:I11">D18-H6</f>
        <v>18.75490196078431</v>
      </c>
      <c r="J6" s="273"/>
      <c r="K6" s="273"/>
    </row>
    <row r="7" spans="1:11" ht="12.75">
      <c r="A7" s="35">
        <f>+A8-1</f>
        <v>1997</v>
      </c>
      <c r="B7" s="204">
        <f>'2-16'!C7</f>
        <v>98</v>
      </c>
      <c r="C7" s="168">
        <f>'31'!B16</f>
        <v>10540</v>
      </c>
      <c r="D7" s="169">
        <f t="shared" si="0"/>
        <v>107.55102040816327</v>
      </c>
      <c r="E7" s="170">
        <f>(D7/D6)-1</f>
        <v>0.1749174340401256</v>
      </c>
      <c r="G7" s="337">
        <f t="shared" si="1"/>
        <v>1997</v>
      </c>
      <c r="H7" s="366">
        <f t="shared" si="2"/>
        <v>107.55102040816327</v>
      </c>
      <c r="I7" s="366">
        <f t="shared" si="3"/>
        <v>22.42857142857143</v>
      </c>
      <c r="J7" s="273"/>
      <c r="K7" s="273"/>
    </row>
    <row r="8" spans="1:11" ht="12.75">
      <c r="A8" s="35">
        <f>+A9-1</f>
        <v>1998</v>
      </c>
      <c r="B8" s="204">
        <f>'2-16'!C8</f>
        <v>103</v>
      </c>
      <c r="C8" s="168">
        <f>'31'!B17</f>
        <v>11875</v>
      </c>
      <c r="D8" s="169">
        <f t="shared" si="0"/>
        <v>115.29126213592232</v>
      </c>
      <c r="E8" s="170">
        <f>(D8/D7)-1</f>
        <v>0.07196809196588116</v>
      </c>
      <c r="G8" s="337">
        <f t="shared" si="1"/>
        <v>1998</v>
      </c>
      <c r="H8" s="366">
        <f t="shared" si="2"/>
        <v>115.29126213592232</v>
      </c>
      <c r="I8" s="366">
        <f t="shared" si="3"/>
        <v>25.203883495145647</v>
      </c>
      <c r="J8" s="273"/>
      <c r="K8" s="273"/>
    </row>
    <row r="9" spans="1:11" ht="12.75">
      <c r="A9" s="35">
        <f>+A10-1</f>
        <v>1999</v>
      </c>
      <c r="B9" s="204">
        <f>'2-16'!C9</f>
        <v>105</v>
      </c>
      <c r="C9" s="168">
        <f>'31'!B18</f>
        <v>13343</v>
      </c>
      <c r="D9" s="169">
        <f t="shared" si="0"/>
        <v>127.07619047619048</v>
      </c>
      <c r="E9" s="170">
        <f>(D9/D8)-1</f>
        <v>0.10221874686716803</v>
      </c>
      <c r="G9" s="337">
        <f t="shared" si="1"/>
        <v>1999</v>
      </c>
      <c r="H9" s="366">
        <f t="shared" si="2"/>
        <v>127.07619047619048</v>
      </c>
      <c r="I9" s="366">
        <f t="shared" si="3"/>
        <v>28.23809523809524</v>
      </c>
      <c r="J9" s="273"/>
      <c r="K9" s="273"/>
    </row>
    <row r="10" spans="1:11" ht="12.75">
      <c r="A10" s="35">
        <f>+A11-1</f>
        <v>2000</v>
      </c>
      <c r="B10" s="204">
        <f>'2-16'!C10</f>
        <v>109</v>
      </c>
      <c r="C10" s="168">
        <f>'31'!B19</f>
        <v>14469</v>
      </c>
      <c r="D10" s="169">
        <f t="shared" si="0"/>
        <v>132.74311926605503</v>
      </c>
      <c r="E10" s="170">
        <f>(D10/D9)-1</f>
        <v>0.044594733038730405</v>
      </c>
      <c r="G10" s="337">
        <f t="shared" si="1"/>
        <v>2000</v>
      </c>
      <c r="H10" s="366">
        <f t="shared" si="2"/>
        <v>132.74311926605503</v>
      </c>
      <c r="I10" s="366">
        <f t="shared" si="3"/>
        <v>28.165137614678912</v>
      </c>
      <c r="J10" s="273"/>
      <c r="K10" s="273"/>
    </row>
    <row r="11" spans="1:11" ht="12.75">
      <c r="A11" s="36">
        <f>curryr</f>
        <v>2001</v>
      </c>
      <c r="B11" s="193">
        <f>'2-16'!C11</f>
        <v>118</v>
      </c>
      <c r="C11" s="171">
        <f>'31'!B20</f>
        <v>16561</v>
      </c>
      <c r="D11" s="172">
        <f t="shared" si="0"/>
        <v>140.34745762711864</v>
      </c>
      <c r="E11" s="173">
        <f>(D11/D10)-1</f>
        <v>0.057286120765494</v>
      </c>
      <c r="G11" s="337">
        <f t="shared" si="1"/>
        <v>2001</v>
      </c>
      <c r="H11" s="366">
        <f t="shared" si="2"/>
        <v>140.34745762711864</v>
      </c>
      <c r="I11" s="366">
        <f t="shared" si="3"/>
        <v>30.152542372881356</v>
      </c>
      <c r="J11" s="273"/>
      <c r="K11" s="273"/>
    </row>
    <row r="12" spans="1:11" ht="12.75">
      <c r="A12" s="143"/>
      <c r="G12" s="273"/>
      <c r="H12" s="273"/>
      <c r="I12" s="273"/>
      <c r="J12" s="273"/>
      <c r="K12" s="273"/>
    </row>
    <row r="13" spans="1:11" ht="12.75">
      <c r="A13" s="34"/>
      <c r="B13" s="1"/>
      <c r="C13" s="163" t="s">
        <v>116</v>
      </c>
      <c r="D13" s="164"/>
      <c r="E13" s="164"/>
      <c r="G13" s="273"/>
      <c r="H13" s="273"/>
      <c r="I13" s="273"/>
      <c r="J13" s="273"/>
      <c r="K13" s="273"/>
    </row>
    <row r="14" spans="1:5" ht="12.75">
      <c r="A14" s="35"/>
      <c r="B14" s="19" t="s">
        <v>88</v>
      </c>
      <c r="C14" s="34"/>
      <c r="D14" s="9" t="s">
        <v>108</v>
      </c>
      <c r="E14" s="10"/>
    </row>
    <row r="15" spans="1:5" ht="12.75">
      <c r="A15" s="35" t="s">
        <v>2</v>
      </c>
      <c r="B15" s="19" t="s">
        <v>109</v>
      </c>
      <c r="C15" s="35" t="s">
        <v>65</v>
      </c>
      <c r="D15" s="10" t="s">
        <v>90</v>
      </c>
      <c r="E15" s="10" t="s">
        <v>110</v>
      </c>
    </row>
    <row r="16" spans="1:5" ht="12.75">
      <c r="A16" s="36" t="s">
        <v>5</v>
      </c>
      <c r="B16" s="166" t="s">
        <v>111</v>
      </c>
      <c r="C16" s="36" t="s">
        <v>67</v>
      </c>
      <c r="D16" s="167" t="s">
        <v>112</v>
      </c>
      <c r="E16" s="167" t="s">
        <v>113</v>
      </c>
    </row>
    <row r="17" spans="1:5" ht="12.75">
      <c r="A17" s="34"/>
      <c r="B17" s="165"/>
      <c r="C17" s="1"/>
      <c r="D17" s="1"/>
      <c r="E17" s="2"/>
    </row>
    <row r="18" spans="1:5" ht="12.75">
      <c r="A18" s="35">
        <f>+A19-1</f>
        <v>1996</v>
      </c>
      <c r="B18" s="204">
        <f aca="true" t="shared" si="4" ref="B18:B23">B6</f>
        <v>102</v>
      </c>
      <c r="C18" s="168">
        <f>'2-3'!C5</f>
        <v>11250</v>
      </c>
      <c r="D18" s="169">
        <f aca="true" t="shared" si="5" ref="D18:D23">C18/B18</f>
        <v>110.29411764705883</v>
      </c>
      <c r="E18" s="5"/>
    </row>
    <row r="19" spans="1:5" ht="12.75">
      <c r="A19" s="35">
        <f>+A20-1</f>
        <v>1997</v>
      </c>
      <c r="B19" s="204">
        <f t="shared" si="4"/>
        <v>98</v>
      </c>
      <c r="C19" s="168">
        <f>'2-3'!C6</f>
        <v>12738</v>
      </c>
      <c r="D19" s="169">
        <f t="shared" si="5"/>
        <v>129.9795918367347</v>
      </c>
      <c r="E19" s="170">
        <f>(D19/D18)-1</f>
        <v>0.17848163265306116</v>
      </c>
    </row>
    <row r="20" spans="1:5" ht="12.75">
      <c r="A20" s="35">
        <f>+A21-1</f>
        <v>1998</v>
      </c>
      <c r="B20" s="204">
        <f t="shared" si="4"/>
        <v>103</v>
      </c>
      <c r="C20" s="168">
        <f>'2-3'!C7</f>
        <v>14471</v>
      </c>
      <c r="D20" s="169">
        <f t="shared" si="5"/>
        <v>140.49514563106797</v>
      </c>
      <c r="E20" s="170">
        <f>(D20/D19)-1</f>
        <v>0.08090157574538082</v>
      </c>
    </row>
    <row r="21" spans="1:5" ht="12.75">
      <c r="A21" s="35">
        <f>+A22-1</f>
        <v>1999</v>
      </c>
      <c r="B21" s="204">
        <f t="shared" si="4"/>
        <v>105</v>
      </c>
      <c r="C21" s="168">
        <f>'2-3'!C8</f>
        <v>16308</v>
      </c>
      <c r="D21" s="169">
        <f t="shared" si="5"/>
        <v>155.31428571428572</v>
      </c>
      <c r="E21" s="170">
        <f>(D21/D20)-1</f>
        <v>0.10547795097584323</v>
      </c>
    </row>
    <row r="22" spans="1:5" ht="12.75">
      <c r="A22" s="35">
        <f>+A23-1</f>
        <v>2000</v>
      </c>
      <c r="B22" s="204">
        <f t="shared" si="4"/>
        <v>109</v>
      </c>
      <c r="C22" s="168">
        <f>'2-3'!C9</f>
        <v>17539</v>
      </c>
      <c r="D22" s="169">
        <f t="shared" si="5"/>
        <v>160.90825688073394</v>
      </c>
      <c r="E22" s="170">
        <f>(D22/D21)-1</f>
        <v>0.036017106480074945</v>
      </c>
    </row>
    <row r="23" spans="1:5" ht="12.75">
      <c r="A23" s="36">
        <f>+A11</f>
        <v>2001</v>
      </c>
      <c r="B23" s="193">
        <f t="shared" si="4"/>
        <v>118</v>
      </c>
      <c r="C23" s="171">
        <f>'2-3'!C10</f>
        <v>20119</v>
      </c>
      <c r="D23" s="172">
        <f t="shared" si="5"/>
        <v>170.5</v>
      </c>
      <c r="E23" s="173">
        <f>(D23/D22)-1</f>
        <v>0.05961001197331672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:E12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3.140625" style="0" customWidth="1"/>
    <col min="4" max="4" width="9.28125" style="0" customWidth="1"/>
    <col min="8" max="8" width="10.57421875" style="0" customWidth="1"/>
  </cols>
  <sheetData>
    <row r="1" spans="1:9" ht="15">
      <c r="A1" s="274"/>
      <c r="B1" s="309"/>
      <c r="C1" s="235" t="s">
        <v>132</v>
      </c>
      <c r="D1" s="236"/>
      <c r="E1" s="236"/>
      <c r="F1" s="236"/>
      <c r="G1" s="236"/>
      <c r="H1" s="237"/>
      <c r="I1" s="275" t="s">
        <v>15</v>
      </c>
    </row>
    <row r="2" spans="1:9" ht="15">
      <c r="A2" s="276" t="s">
        <v>2</v>
      </c>
      <c r="B2" s="320" t="s">
        <v>88</v>
      </c>
      <c r="C2" s="306" t="s">
        <v>3</v>
      </c>
      <c r="D2" s="307"/>
      <c r="E2" s="307"/>
      <c r="F2" s="307"/>
      <c r="G2" s="307"/>
      <c r="H2" s="308"/>
      <c r="I2" s="277" t="s">
        <v>95</v>
      </c>
    </row>
    <row r="3" spans="1:9" ht="15">
      <c r="A3" s="278" t="s">
        <v>5</v>
      </c>
      <c r="B3" s="278" t="s">
        <v>109</v>
      </c>
      <c r="C3" s="245">
        <v>12</v>
      </c>
      <c r="D3" s="245">
        <v>24</v>
      </c>
      <c r="E3" s="245">
        <v>36</v>
      </c>
      <c r="F3" s="245">
        <v>48</v>
      </c>
      <c r="G3" s="245">
        <v>60</v>
      </c>
      <c r="H3" s="245">
        <v>72</v>
      </c>
      <c r="I3" s="279" t="s">
        <v>133</v>
      </c>
    </row>
    <row r="4" spans="1:9" ht="15">
      <c r="A4" s="233"/>
      <c r="B4" s="233"/>
      <c r="C4" s="309"/>
      <c r="D4" s="300"/>
      <c r="E4" s="300"/>
      <c r="F4" s="300"/>
      <c r="G4" s="300"/>
      <c r="H4" s="275"/>
      <c r="I4" s="280"/>
    </row>
    <row r="5" spans="1:9" ht="15">
      <c r="A5" s="238">
        <f>+A6-1</f>
        <v>1996</v>
      </c>
      <c r="B5" s="321">
        <f>'2-23'!C4</f>
        <v>102</v>
      </c>
      <c r="C5" s="318">
        <f>+'2-10'!B6</f>
        <v>1428</v>
      </c>
      <c r="D5" s="314">
        <f>+'2-10'!C6</f>
        <v>2772</v>
      </c>
      <c r="E5" s="314">
        <f>+'2-10'!D6</f>
        <v>2850</v>
      </c>
      <c r="F5" s="314">
        <f>+'2-10'!E6</f>
        <v>2866</v>
      </c>
      <c r="G5" s="314">
        <f>+'2-10'!F6</f>
        <v>2870</v>
      </c>
      <c r="H5" s="313">
        <f>+'2-10'!G6</f>
        <v>2888</v>
      </c>
      <c r="I5" s="282">
        <f>'2-12'!D7</f>
        <v>2888</v>
      </c>
    </row>
    <row r="6" spans="1:9" ht="15">
      <c r="A6" s="238">
        <f>+A7-1</f>
        <v>1997</v>
      </c>
      <c r="B6" s="321">
        <f>'2-23'!C5</f>
        <v>98</v>
      </c>
      <c r="C6" s="318">
        <f>+'2-10'!B7</f>
        <v>1710</v>
      </c>
      <c r="D6" s="314">
        <f>+'2-10'!C7</f>
        <v>3032</v>
      </c>
      <c r="E6" s="314">
        <f>+'2-10'!D7</f>
        <v>3086</v>
      </c>
      <c r="F6" s="314">
        <f>+'2-10'!E7</f>
        <v>3094</v>
      </c>
      <c r="G6" s="314">
        <f>+'2-10'!F7</f>
        <v>3110</v>
      </c>
      <c r="H6" s="313"/>
      <c r="I6" s="282">
        <f>'2-12'!D8</f>
        <v>3129</v>
      </c>
    </row>
    <row r="7" spans="1:9" ht="15">
      <c r="A7" s="238">
        <f>+A8-1</f>
        <v>1998</v>
      </c>
      <c r="B7" s="321">
        <f>'2-23'!C6</f>
        <v>103</v>
      </c>
      <c r="C7" s="318">
        <f>+'2-10'!B8</f>
        <v>1358</v>
      </c>
      <c r="D7" s="314">
        <f>+'2-10'!C8</f>
        <v>2780</v>
      </c>
      <c r="E7" s="314">
        <f>+'2-10'!D8</f>
        <v>2990</v>
      </c>
      <c r="F7" s="314">
        <f>+'2-10'!E8</f>
        <v>3000</v>
      </c>
      <c r="G7" s="314"/>
      <c r="H7" s="313"/>
      <c r="I7" s="282">
        <f>'2-12'!D9</f>
        <v>3030</v>
      </c>
    </row>
    <row r="8" spans="1:9" ht="15">
      <c r="A8" s="238">
        <f>+A9-1</f>
        <v>1999</v>
      </c>
      <c r="B8" s="321">
        <f>'2-23'!C7</f>
        <v>105</v>
      </c>
      <c r="C8" s="318">
        <f>+'2-10'!B9</f>
        <v>1510</v>
      </c>
      <c r="D8" s="314">
        <f>+'2-10'!C9</f>
        <v>2588</v>
      </c>
      <c r="E8" s="314">
        <f>+'2-10'!D9</f>
        <v>2656</v>
      </c>
      <c r="F8" s="314"/>
      <c r="G8" s="314"/>
      <c r="H8" s="313"/>
      <c r="I8" s="282">
        <f>'2-12'!D10</f>
        <v>2699</v>
      </c>
    </row>
    <row r="9" spans="1:9" ht="15">
      <c r="A9" s="238">
        <f>+A10-1</f>
        <v>2000</v>
      </c>
      <c r="B9" s="321">
        <f>'2-23'!C8</f>
        <v>109</v>
      </c>
      <c r="C9" s="322">
        <f>+'2-10'!B10</f>
        <v>1488</v>
      </c>
      <c r="D9" s="323">
        <f>+'2-10'!C10</f>
        <v>2604</v>
      </c>
      <c r="E9" s="314"/>
      <c r="F9" s="314"/>
      <c r="G9" s="314"/>
      <c r="H9" s="313"/>
      <c r="I9" s="282">
        <f>'2-12'!D11</f>
        <v>2744</v>
      </c>
    </row>
    <row r="10" spans="1:9" ht="15">
      <c r="A10" s="243">
        <f>curryr</f>
        <v>2001</v>
      </c>
      <c r="B10" s="324">
        <f>'2-23'!C9</f>
        <v>118</v>
      </c>
      <c r="C10" s="319">
        <f>+'2-10'!B11</f>
        <v>1604</v>
      </c>
      <c r="D10" s="316"/>
      <c r="E10" s="316"/>
      <c r="F10" s="316"/>
      <c r="G10" s="316"/>
      <c r="H10" s="317"/>
      <c r="I10" s="282">
        <f>'2-12'!D12</f>
        <v>3078</v>
      </c>
    </row>
    <row r="11" spans="1:9" ht="12.75">
      <c r="A11" s="273"/>
      <c r="B11" s="273"/>
      <c r="C11" s="273"/>
      <c r="D11" s="273"/>
      <c r="E11" s="273"/>
      <c r="F11" s="273"/>
      <c r="G11" s="273"/>
      <c r="H11" s="273"/>
      <c r="I11" s="273"/>
    </row>
    <row r="12" spans="1:9" ht="15">
      <c r="A12" s="273"/>
      <c r="B12" s="306" t="s">
        <v>134</v>
      </c>
      <c r="C12" s="288"/>
      <c r="D12" s="288"/>
      <c r="E12" s="288"/>
      <c r="F12" s="288"/>
      <c r="G12" s="289"/>
      <c r="H12" s="286" t="s">
        <v>15</v>
      </c>
      <c r="I12" s="325"/>
    </row>
    <row r="13" spans="1:9" ht="15">
      <c r="A13" s="326" t="s">
        <v>2</v>
      </c>
      <c r="B13" s="306" t="s">
        <v>3</v>
      </c>
      <c r="C13" s="307"/>
      <c r="D13" s="307"/>
      <c r="E13" s="307"/>
      <c r="F13" s="307"/>
      <c r="G13" s="308"/>
      <c r="H13" s="290" t="s">
        <v>95</v>
      </c>
      <c r="I13" s="327" t="s">
        <v>135</v>
      </c>
    </row>
    <row r="14" spans="1:9" ht="15">
      <c r="A14" s="243" t="s">
        <v>5</v>
      </c>
      <c r="B14" s="245">
        <v>12</v>
      </c>
      <c r="C14" s="245">
        <v>24</v>
      </c>
      <c r="D14" s="245">
        <v>36</v>
      </c>
      <c r="E14" s="245">
        <v>48</v>
      </c>
      <c r="F14" s="245">
        <v>60</v>
      </c>
      <c r="G14" s="245">
        <v>72</v>
      </c>
      <c r="H14" s="21" t="s">
        <v>96</v>
      </c>
      <c r="I14" s="328" t="s">
        <v>113</v>
      </c>
    </row>
    <row r="15" spans="1:9" ht="12.75">
      <c r="A15" s="329"/>
      <c r="B15" s="294"/>
      <c r="C15" s="295"/>
      <c r="D15" s="295"/>
      <c r="E15" s="295"/>
      <c r="F15" s="295"/>
      <c r="G15" s="296"/>
      <c r="H15" s="329"/>
      <c r="I15" s="329"/>
    </row>
    <row r="16" spans="1:9" ht="15">
      <c r="A16" s="238">
        <f>+A17-1</f>
        <v>1996</v>
      </c>
      <c r="B16" s="330">
        <f aca="true" t="shared" si="0" ref="B16:H16">C5/$B5</f>
        <v>14</v>
      </c>
      <c r="C16" s="331">
        <f t="shared" si="0"/>
        <v>27.176470588235293</v>
      </c>
      <c r="D16" s="331">
        <f t="shared" si="0"/>
        <v>27.941176470588236</v>
      </c>
      <c r="E16" s="331">
        <f t="shared" si="0"/>
        <v>28.098039215686274</v>
      </c>
      <c r="F16" s="331">
        <f t="shared" si="0"/>
        <v>28.137254901960784</v>
      </c>
      <c r="G16" s="332">
        <f t="shared" si="0"/>
        <v>28.313725490196077</v>
      </c>
      <c r="H16" s="333">
        <f t="shared" si="0"/>
        <v>28.313725490196077</v>
      </c>
      <c r="I16" s="334"/>
    </row>
    <row r="17" spans="1:9" ht="15">
      <c r="A17" s="238">
        <f>+A18-1</f>
        <v>1997</v>
      </c>
      <c r="B17" s="330">
        <f>C6/$B6</f>
        <v>17.448979591836736</v>
      </c>
      <c r="C17" s="331">
        <f>D6/$B6</f>
        <v>30.93877551020408</v>
      </c>
      <c r="D17" s="331">
        <f>E6/$B6</f>
        <v>31.489795918367346</v>
      </c>
      <c r="E17" s="331">
        <f>F6/$B6</f>
        <v>31.571428571428573</v>
      </c>
      <c r="F17" s="331">
        <f>G6/$B6</f>
        <v>31.73469387755102</v>
      </c>
      <c r="G17" s="335"/>
      <c r="H17" s="333">
        <f>I6/$B6</f>
        <v>31.928571428571427</v>
      </c>
      <c r="I17" s="336">
        <f>(H17/H16)-1</f>
        <v>0.12767115156311837</v>
      </c>
    </row>
    <row r="18" spans="1:9" ht="15">
      <c r="A18" s="238">
        <f>+A19-1</f>
        <v>1998</v>
      </c>
      <c r="B18" s="330">
        <f>C7/$B7</f>
        <v>13.184466019417476</v>
      </c>
      <c r="C18" s="331">
        <f>D7/$B7</f>
        <v>26.990291262135923</v>
      </c>
      <c r="D18" s="331">
        <f>E7/$B7</f>
        <v>29.02912621359223</v>
      </c>
      <c r="E18" s="331">
        <f>F7/$B7</f>
        <v>29.12621359223301</v>
      </c>
      <c r="F18" s="337"/>
      <c r="G18" s="335"/>
      <c r="H18" s="333">
        <f>I7/$B7</f>
        <v>29.41747572815534</v>
      </c>
      <c r="I18" s="336">
        <f>(H18/H17)-1</f>
        <v>-0.07864729263048154</v>
      </c>
    </row>
    <row r="19" spans="1:9" ht="15">
      <c r="A19" s="238">
        <f>+A20-1</f>
        <v>1999</v>
      </c>
      <c r="B19" s="330">
        <f>C8/$B8</f>
        <v>14.380952380952381</v>
      </c>
      <c r="C19" s="331">
        <f>D8/$B8</f>
        <v>24.64761904761905</v>
      </c>
      <c r="D19" s="331">
        <f>E8/$B8</f>
        <v>25.295238095238094</v>
      </c>
      <c r="E19" s="337"/>
      <c r="F19" s="337"/>
      <c r="G19" s="335"/>
      <c r="H19" s="333">
        <f>I8/$B8</f>
        <v>25.704761904761906</v>
      </c>
      <c r="I19" s="336">
        <f>(H19/H18)-1</f>
        <v>-0.12620776363350616</v>
      </c>
    </row>
    <row r="20" spans="1:9" ht="15">
      <c r="A20" s="238">
        <f>+A21-1</f>
        <v>2000</v>
      </c>
      <c r="B20" s="330">
        <f>C9/$B9</f>
        <v>13.65137614678899</v>
      </c>
      <c r="C20" s="331">
        <f>D9/$B9</f>
        <v>23.889908256880734</v>
      </c>
      <c r="D20" s="337"/>
      <c r="E20" s="337"/>
      <c r="F20" s="337"/>
      <c r="G20" s="335"/>
      <c r="H20" s="333">
        <f>I9/$B9</f>
        <v>25.174311926605505</v>
      </c>
      <c r="I20" s="336">
        <f>(H20/H19)-1</f>
        <v>-0.02063625331842245</v>
      </c>
    </row>
    <row r="21" spans="1:9" ht="15">
      <c r="A21" s="243">
        <f>+A10</f>
        <v>2001</v>
      </c>
      <c r="B21" s="338">
        <f>C10/$B10</f>
        <v>13.59322033898305</v>
      </c>
      <c r="C21" s="339"/>
      <c r="D21" s="339"/>
      <c r="E21" s="339"/>
      <c r="F21" s="339"/>
      <c r="G21" s="340"/>
      <c r="H21" s="341">
        <f>I10/$B10</f>
        <v>26.084745762711865</v>
      </c>
      <c r="I21" s="342">
        <f>(H21/H20)-1</f>
        <v>0.03616519246923944</v>
      </c>
    </row>
  </sheetData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workbookViewId="0" topLeftCell="A1">
      <selection activeCell="C4" sqref="C4:E4"/>
    </sheetView>
  </sheetViews>
  <sheetFormatPr defaultColWidth="9.140625" defaultRowHeight="12.75"/>
  <cols>
    <col min="1" max="1" width="10.28125" style="0" customWidth="1"/>
    <col min="2" max="2" width="9.7109375" style="0" customWidth="1"/>
  </cols>
  <sheetData>
    <row r="1" spans="1:7" ht="12.75">
      <c r="A1" s="273"/>
      <c r="B1" s="273"/>
      <c r="C1" s="273"/>
      <c r="D1" s="273"/>
      <c r="E1" s="273"/>
      <c r="F1" s="273"/>
      <c r="G1" s="273"/>
    </row>
    <row r="2" spans="1:7" ht="15">
      <c r="A2" s="274"/>
      <c r="B2" s="306" t="s">
        <v>130</v>
      </c>
      <c r="C2" s="307"/>
      <c r="D2" s="307"/>
      <c r="E2" s="307"/>
      <c r="F2" s="307"/>
      <c r="G2" s="308"/>
    </row>
    <row r="3" spans="1:7" ht="15">
      <c r="A3" s="276" t="s">
        <v>2</v>
      </c>
      <c r="B3" s="240" t="s">
        <v>3</v>
      </c>
      <c r="C3" s="241"/>
      <c r="D3" s="241"/>
      <c r="E3" s="241"/>
      <c r="F3" s="241"/>
      <c r="G3" s="242"/>
    </row>
    <row r="4" spans="1:7" ht="15">
      <c r="A4" s="278" t="s">
        <v>5</v>
      </c>
      <c r="B4" s="245">
        <v>12</v>
      </c>
      <c r="C4" s="245">
        <v>24</v>
      </c>
      <c r="D4" s="245">
        <v>36</v>
      </c>
      <c r="E4" s="245">
        <v>48</v>
      </c>
      <c r="F4" s="245">
        <v>60</v>
      </c>
      <c r="G4" s="245">
        <v>72</v>
      </c>
    </row>
    <row r="5" spans="1:7" ht="15">
      <c r="A5" s="233"/>
      <c r="B5" s="309"/>
      <c r="C5" s="300"/>
      <c r="D5" s="300"/>
      <c r="E5" s="300"/>
      <c r="F5" s="300"/>
      <c r="G5" s="275"/>
    </row>
    <row r="6" spans="1:7" ht="15">
      <c r="A6" s="238">
        <f>+A7-1</f>
        <v>1996</v>
      </c>
      <c r="B6" s="310">
        <f>'24'!B6/'31'!B15</f>
        <v>0.40484095533897396</v>
      </c>
      <c r="C6" s="311">
        <f>'24'!C6/'31'!C15</f>
        <v>0.6150087581819857</v>
      </c>
      <c r="D6" s="311">
        <f>'24'!D6/'31'!D15</f>
        <v>0.7353047241254959</v>
      </c>
      <c r="E6" s="311">
        <f>'24'!E6/'31'!E15</f>
        <v>0.8224624731951394</v>
      </c>
      <c r="F6" s="311">
        <f>'24'!F6/'31'!F15</f>
        <v>0.8891855807743658</v>
      </c>
      <c r="G6" s="312">
        <f>'24'!G6/'31'!G15</f>
        <v>0.9340444444444445</v>
      </c>
    </row>
    <row r="7" spans="1:7" ht="15">
      <c r="A7" s="238">
        <f>+A8-1</f>
        <v>1997</v>
      </c>
      <c r="B7" s="310">
        <f>'24'!B7/'31'!B16</f>
        <v>0.39962049335863375</v>
      </c>
      <c r="C7" s="311">
        <f>'24'!C7/'31'!C16</f>
        <v>0.6178615321589512</v>
      </c>
      <c r="D7" s="311">
        <f>'24'!D7/'31'!D16</f>
        <v>0.7450402358377819</v>
      </c>
      <c r="E7" s="311">
        <f>'24'!E7/'31'!E16</f>
        <v>0.8383766745468874</v>
      </c>
      <c r="F7" s="311">
        <f>'24'!F7/'31'!F16</f>
        <v>0.9065618860510806</v>
      </c>
      <c r="G7" s="313"/>
    </row>
    <row r="8" spans="1:7" ht="15">
      <c r="A8" s="238">
        <f>+A9-1</f>
        <v>1998</v>
      </c>
      <c r="B8" s="310">
        <f>'24'!B8/'31'!B17</f>
        <v>0.4127157894736842</v>
      </c>
      <c r="C8" s="311">
        <f>'24'!C8/'31'!C17</f>
        <v>0.6408328513591671</v>
      </c>
      <c r="D8" s="311">
        <f>'24'!D8/'31'!D17</f>
        <v>0.7716673690125018</v>
      </c>
      <c r="E8" s="311">
        <f>'24'!E8/'31'!E17</f>
        <v>0.8643585651842087</v>
      </c>
      <c r="F8" s="314"/>
      <c r="G8" s="313"/>
    </row>
    <row r="9" spans="1:7" ht="15">
      <c r="A9" s="238">
        <f>+A10-1</f>
        <v>1999</v>
      </c>
      <c r="B9" s="310">
        <f>'24'!B9/'31'!B18</f>
        <v>0.42778985235704114</v>
      </c>
      <c r="C9" s="311">
        <f>'24'!C9/'31'!C18</f>
        <v>0.6606614335349376</v>
      </c>
      <c r="D9" s="311">
        <f>'24'!D9/'31'!D18</f>
        <v>0.7904269886717291</v>
      </c>
      <c r="E9" s="314"/>
      <c r="F9" s="314"/>
      <c r="G9" s="313"/>
    </row>
    <row r="10" spans="1:7" ht="15">
      <c r="A10" s="238">
        <f>+A11-1</f>
        <v>2000</v>
      </c>
      <c r="B10" s="310">
        <f>'24'!B10/'31'!B19</f>
        <v>0.42110719469210034</v>
      </c>
      <c r="C10" s="311">
        <f>'24'!C10/'31'!C19</f>
        <v>0.6659513590844063</v>
      </c>
      <c r="D10" s="314"/>
      <c r="E10" s="314"/>
      <c r="F10" s="314"/>
      <c r="G10" s="313"/>
    </row>
    <row r="11" spans="1:7" ht="15">
      <c r="A11" s="243">
        <f>curryr</f>
        <v>2001</v>
      </c>
      <c r="B11" s="315">
        <f>'24'!B11/'31'!B20</f>
        <v>0.4203852424370509</v>
      </c>
      <c r="C11" s="316"/>
      <c r="D11" s="316"/>
      <c r="E11" s="316"/>
      <c r="F11" s="316"/>
      <c r="G11" s="317"/>
    </row>
    <row r="12" spans="1:7" ht="12.75">
      <c r="A12" s="273"/>
      <c r="B12" s="273"/>
      <c r="C12" s="273"/>
      <c r="D12" s="273"/>
      <c r="E12" s="273"/>
      <c r="F12" s="273"/>
      <c r="G12" s="273"/>
    </row>
    <row r="13" spans="1:7" ht="15">
      <c r="A13" s="274"/>
      <c r="B13" s="306" t="s">
        <v>131</v>
      </c>
      <c r="C13" s="307"/>
      <c r="D13" s="307"/>
      <c r="E13" s="307"/>
      <c r="F13" s="307"/>
      <c r="G13" s="308"/>
    </row>
    <row r="14" spans="1:7" ht="15">
      <c r="A14" s="276" t="s">
        <v>2</v>
      </c>
      <c r="B14" s="240" t="s">
        <v>3</v>
      </c>
      <c r="C14" s="241"/>
      <c r="D14" s="241"/>
      <c r="E14" s="241"/>
      <c r="F14" s="241"/>
      <c r="G14" s="242"/>
    </row>
    <row r="15" spans="1:7" ht="15">
      <c r="A15" s="278" t="s">
        <v>5</v>
      </c>
      <c r="B15" s="245">
        <v>12</v>
      </c>
      <c r="C15" s="245">
        <v>24</v>
      </c>
      <c r="D15" s="245">
        <v>36</v>
      </c>
      <c r="E15" s="245">
        <v>48</v>
      </c>
      <c r="F15" s="245">
        <v>60</v>
      </c>
      <c r="G15" s="245">
        <v>72</v>
      </c>
    </row>
    <row r="16" spans="1:7" ht="15">
      <c r="A16" s="233"/>
      <c r="B16" s="309"/>
      <c r="C16" s="300"/>
      <c r="D16" s="300"/>
      <c r="E16" s="300"/>
      <c r="F16" s="300"/>
      <c r="G16" s="275"/>
    </row>
    <row r="17" spans="1:7" ht="15">
      <c r="A17" s="238">
        <f>+A18-1</f>
        <v>1996</v>
      </c>
      <c r="B17" s="318">
        <f>'31'!B15/'2-10'!B6*1000</f>
        <v>6538.515406162465</v>
      </c>
      <c r="C17" s="314">
        <f>'31'!C15/'2-10'!C6*1000</f>
        <v>3913.059163059163</v>
      </c>
      <c r="D17" s="314">
        <f>'31'!D15/'2-10'!D6*1000</f>
        <v>3891.929824561403</v>
      </c>
      <c r="E17" s="314">
        <f>'31'!E15/'2-10'!E6*1000</f>
        <v>3905.0942079553383</v>
      </c>
      <c r="F17" s="314">
        <f>'31'!F15/'2-10'!F6*1000</f>
        <v>3914.6341463414633</v>
      </c>
      <c r="G17" s="313">
        <f>'31'!G15/'2-10'!G6*1000</f>
        <v>3895.4293628808864</v>
      </c>
    </row>
    <row r="18" spans="1:7" ht="15">
      <c r="A18" s="238">
        <f>+A19-1</f>
        <v>1997</v>
      </c>
      <c r="B18" s="318">
        <f>'31'!B16/'2-10'!B7*1000</f>
        <v>6163.74269005848</v>
      </c>
      <c r="C18" s="314">
        <f>'31'!C16/'2-10'!C7*1000</f>
        <v>4025.395778364116</v>
      </c>
      <c r="D18" s="314">
        <f>'31'!D16/'2-10'!D7*1000</f>
        <v>4067.0771224886585</v>
      </c>
      <c r="E18" s="314">
        <f>'31'!E16/'2-10'!E7*1000</f>
        <v>4101.486748545572</v>
      </c>
      <c r="F18" s="314">
        <f>'31'!F16/'2-10'!F7*1000</f>
        <v>4091.639871382637</v>
      </c>
      <c r="G18" s="313"/>
    </row>
    <row r="19" spans="1:7" ht="15">
      <c r="A19" s="238">
        <f>+A20-1</f>
        <v>1998</v>
      </c>
      <c r="B19" s="318">
        <f>'31'!B17/'2-10'!B8*1000</f>
        <v>8744.477172312223</v>
      </c>
      <c r="C19" s="314">
        <f>'31'!C17/'2-10'!C8*1000</f>
        <v>4975.539568345324</v>
      </c>
      <c r="D19" s="314">
        <f>'31'!D17/'2-10'!D8*1000</f>
        <v>4761.872909698996</v>
      </c>
      <c r="E19" s="314">
        <f>'31'!E17/'2-10'!E8*1000</f>
        <v>4804.333333333333</v>
      </c>
      <c r="F19" s="314"/>
      <c r="G19" s="313"/>
    </row>
    <row r="20" spans="1:7" ht="15">
      <c r="A20" s="238">
        <f>+A21-1</f>
        <v>1999</v>
      </c>
      <c r="B20" s="318">
        <f>'31'!B18/'2-10'!B9*1000</f>
        <v>8836.423841059603</v>
      </c>
      <c r="C20" s="314">
        <f>'31'!C18/'2-10'!C9*1000</f>
        <v>6005.409582689335</v>
      </c>
      <c r="D20" s="314">
        <f>'31'!D18/'2-10'!D9*1000</f>
        <v>6048.94578313253</v>
      </c>
      <c r="E20" s="314"/>
      <c r="F20" s="314"/>
      <c r="G20" s="313"/>
    </row>
    <row r="21" spans="1:7" ht="15">
      <c r="A21" s="238">
        <f>+A22-1</f>
        <v>2000</v>
      </c>
      <c r="B21" s="318">
        <f>'31'!B19/'2-10'!B10*1000</f>
        <v>9723.790322580646</v>
      </c>
      <c r="C21" s="314">
        <f>'31'!C19/'2-10'!C10*1000</f>
        <v>6442.3963133640555</v>
      </c>
      <c r="D21" s="314"/>
      <c r="E21" s="314"/>
      <c r="F21" s="314"/>
      <c r="G21" s="313"/>
    </row>
    <row r="22" spans="1:7" ht="15">
      <c r="A22" s="243">
        <f>+A11</f>
        <v>2001</v>
      </c>
      <c r="B22" s="319">
        <f>'31'!B20/'2-10'!B11*1000</f>
        <v>10324.812967581049</v>
      </c>
      <c r="C22" s="316"/>
      <c r="D22" s="316"/>
      <c r="E22" s="316"/>
      <c r="F22" s="316"/>
      <c r="G22" s="317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/>
  <cols>
    <col min="1" max="5" width="11.00390625" style="0" customWidth="1"/>
  </cols>
  <sheetData>
    <row r="1" spans="1:5" ht="12.75">
      <c r="A1" s="175" t="s">
        <v>2</v>
      </c>
      <c r="B1" s="34" t="s">
        <v>88</v>
      </c>
      <c r="C1" s="178" t="s">
        <v>88</v>
      </c>
      <c r="D1" s="34" t="s">
        <v>70</v>
      </c>
      <c r="E1" s="9" t="s">
        <v>117</v>
      </c>
    </row>
    <row r="2" spans="1:5" ht="12.75">
      <c r="A2" s="177" t="s">
        <v>5</v>
      </c>
      <c r="B2" s="36" t="s">
        <v>90</v>
      </c>
      <c r="C2" s="166" t="s">
        <v>109</v>
      </c>
      <c r="D2" s="36" t="s">
        <v>90</v>
      </c>
      <c r="E2" s="167" t="s">
        <v>118</v>
      </c>
    </row>
    <row r="3" spans="1:5" ht="12.75">
      <c r="A3" s="165"/>
      <c r="B3" s="165"/>
      <c r="C3" s="165"/>
      <c r="D3" s="165"/>
      <c r="E3" s="2"/>
    </row>
    <row r="4" spans="1:5" ht="12.75">
      <c r="A4" s="35">
        <f>+A5-1</f>
        <v>1996</v>
      </c>
      <c r="B4" s="216">
        <f>'2-14'!B5</f>
        <v>18168</v>
      </c>
      <c r="C4" s="204">
        <f>'2-18'!B18</f>
        <v>102</v>
      </c>
      <c r="D4" s="215">
        <f aca="true" t="shared" si="0" ref="D4:D9">B4/C4</f>
        <v>178.11764705882354</v>
      </c>
      <c r="E4" s="5"/>
    </row>
    <row r="5" spans="1:5" ht="12.75">
      <c r="A5" s="35">
        <f>+A6-1</f>
        <v>1997</v>
      </c>
      <c r="B5" s="216">
        <f>'2-14'!B6</f>
        <v>21995</v>
      </c>
      <c r="C5" s="204">
        <f>'2-18'!B19</f>
        <v>98</v>
      </c>
      <c r="D5" s="215">
        <f t="shared" si="0"/>
        <v>224.4387755102041</v>
      </c>
      <c r="E5" s="170">
        <f>(D5/D4)-1</f>
        <v>0.26005917558569003</v>
      </c>
    </row>
    <row r="6" spans="1:5" ht="12.75">
      <c r="A6" s="35">
        <f>+A7-1</f>
        <v>1998</v>
      </c>
      <c r="B6" s="216">
        <f>'2-14'!B7</f>
        <v>24173</v>
      </c>
      <c r="C6" s="204">
        <f>'2-18'!B20</f>
        <v>103</v>
      </c>
      <c r="D6" s="215">
        <f t="shared" si="0"/>
        <v>234.6893203883495</v>
      </c>
      <c r="E6" s="170">
        <f>(D6/D5)-1</f>
        <v>0.04567189807039096</v>
      </c>
    </row>
    <row r="7" spans="1:5" ht="12.75">
      <c r="A7" s="35">
        <f>+A8-1</f>
        <v>1999</v>
      </c>
      <c r="B7" s="216">
        <f>'2-14'!B8</f>
        <v>25534</v>
      </c>
      <c r="C7" s="204">
        <f>'2-18'!B21</f>
        <v>105</v>
      </c>
      <c r="D7" s="215">
        <f t="shared" si="0"/>
        <v>243.1809523809524</v>
      </c>
      <c r="E7" s="170">
        <f>(D7/D6)-1</f>
        <v>0.03618243888793682</v>
      </c>
    </row>
    <row r="8" spans="1:5" ht="12.75">
      <c r="A8" s="35">
        <f>+A9-1</f>
        <v>2000</v>
      </c>
      <c r="B8" s="216">
        <f>'2-14'!B9</f>
        <v>31341</v>
      </c>
      <c r="C8" s="204">
        <f>'2-18'!B22</f>
        <v>109</v>
      </c>
      <c r="D8" s="215">
        <f t="shared" si="0"/>
        <v>287.5321100917431</v>
      </c>
      <c r="E8" s="170">
        <f>(D8/D7)-1</f>
        <v>0.18237924178088138</v>
      </c>
    </row>
    <row r="9" spans="1:5" ht="12.75">
      <c r="A9" s="36">
        <f>curryr</f>
        <v>2001</v>
      </c>
      <c r="B9" s="219">
        <f>'2-14'!B10</f>
        <v>38469</v>
      </c>
      <c r="C9" s="193">
        <f>'2-18'!B23</f>
        <v>118</v>
      </c>
      <c r="D9" s="218">
        <f t="shared" si="0"/>
        <v>326.00847457627117</v>
      </c>
      <c r="E9" s="173">
        <f>(D9/D8)-1</f>
        <v>0.13381588745775685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140625" defaultRowHeight="12.75"/>
  <cols>
    <col min="5" max="5" width="21.28125" style="0" customWidth="1"/>
  </cols>
  <sheetData>
    <row r="1" spans="1:5" ht="12.75">
      <c r="A1" s="145" t="s">
        <v>119</v>
      </c>
      <c r="B1" s="145"/>
      <c r="C1" s="145"/>
      <c r="D1" s="145"/>
      <c r="E1" s="145"/>
    </row>
    <row r="2" spans="1:5" ht="12.75">
      <c r="A2" s="145"/>
      <c r="B2" s="179" t="s">
        <v>120</v>
      </c>
      <c r="C2" s="145"/>
      <c r="D2" s="145"/>
      <c r="E2" s="145"/>
    </row>
    <row r="3" spans="1:5" ht="12.75">
      <c r="A3" s="145"/>
      <c r="B3" s="179" t="s">
        <v>121</v>
      </c>
      <c r="C3" s="145"/>
      <c r="D3" s="145"/>
      <c r="E3" s="145"/>
    </row>
    <row r="5" spans="1:5" ht="12.75">
      <c r="A5" s="179" t="s">
        <v>122</v>
      </c>
      <c r="B5" s="145"/>
      <c r="C5" s="145"/>
      <c r="D5" s="145"/>
      <c r="E5" s="145"/>
    </row>
    <row r="6" spans="1:5" ht="12.75">
      <c r="A6" s="179" t="s">
        <v>123</v>
      </c>
      <c r="B6" s="145"/>
      <c r="C6" s="145"/>
      <c r="D6" s="145"/>
      <c r="E6" s="145"/>
    </row>
    <row r="7" spans="1:5" ht="12.75">
      <c r="A7" s="179" t="s">
        <v>124</v>
      </c>
      <c r="B7" s="145"/>
      <c r="C7" s="145"/>
      <c r="D7" s="145"/>
      <c r="E7" s="145"/>
    </row>
    <row r="9" spans="1:5" ht="12.75">
      <c r="A9" s="179" t="s">
        <v>125</v>
      </c>
      <c r="B9" s="145"/>
      <c r="C9" s="145"/>
      <c r="D9" s="145"/>
      <c r="E9" s="145"/>
    </row>
    <row r="10" spans="1:5" ht="12.75">
      <c r="A10" s="179" t="s">
        <v>126</v>
      </c>
      <c r="B10" s="145"/>
      <c r="C10" s="145"/>
      <c r="D10" s="145"/>
      <c r="E10" s="145"/>
    </row>
    <row r="11" spans="1:5" ht="12.75">
      <c r="A11" s="179" t="s">
        <v>127</v>
      </c>
      <c r="B11" s="145"/>
      <c r="C11" s="145"/>
      <c r="D11" s="145"/>
      <c r="E11" s="145"/>
    </row>
    <row r="12" spans="1:5" ht="12.75">
      <c r="A12" s="179" t="s">
        <v>128</v>
      </c>
      <c r="B12" s="145"/>
      <c r="C12" s="145"/>
      <c r="D12" s="145"/>
      <c r="E12" s="145"/>
    </row>
    <row r="13" spans="1:5" ht="12.75">
      <c r="A13" s="179" t="s">
        <v>129</v>
      </c>
      <c r="B13" s="145"/>
      <c r="C13" s="145"/>
      <c r="D13" s="145"/>
      <c r="E13" s="14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9.28125" style="0" customWidth="1"/>
    <col min="3" max="7" width="10.57421875" style="0" customWidth="1"/>
  </cols>
  <sheetData>
    <row r="1" spans="1:8" ht="12.75">
      <c r="A1" s="273"/>
      <c r="B1" s="273"/>
      <c r="C1" s="273"/>
      <c r="D1" s="273"/>
      <c r="E1" s="273"/>
      <c r="F1" s="273"/>
      <c r="G1" s="273"/>
      <c r="H1" s="273"/>
    </row>
    <row r="2" spans="1:8" ht="15">
      <c r="A2" s="274"/>
      <c r="B2" s="235" t="s">
        <v>0</v>
      </c>
      <c r="C2" s="236"/>
      <c r="D2" s="236"/>
      <c r="E2" s="236"/>
      <c r="F2" s="236"/>
      <c r="G2" s="237"/>
      <c r="H2" s="275" t="s">
        <v>1</v>
      </c>
    </row>
    <row r="3" spans="1:8" ht="15">
      <c r="A3" s="276" t="s">
        <v>2</v>
      </c>
      <c r="B3" s="240" t="s">
        <v>3</v>
      </c>
      <c r="C3" s="241"/>
      <c r="D3" s="241"/>
      <c r="E3" s="241"/>
      <c r="F3" s="241"/>
      <c r="G3" s="242"/>
      <c r="H3" s="277" t="s">
        <v>4</v>
      </c>
    </row>
    <row r="4" spans="1:8" ht="15">
      <c r="A4" s="278" t="s">
        <v>5</v>
      </c>
      <c r="B4" s="245">
        <v>12</v>
      </c>
      <c r="C4" s="245">
        <v>24</v>
      </c>
      <c r="D4" s="245">
        <v>36</v>
      </c>
      <c r="E4" s="245">
        <v>48</v>
      </c>
      <c r="F4" s="245">
        <v>60</v>
      </c>
      <c r="G4" s="245">
        <v>72</v>
      </c>
      <c r="H4" s="279" t="s">
        <v>6</v>
      </c>
    </row>
    <row r="5" spans="1:8" ht="15">
      <c r="A5" s="280"/>
      <c r="B5" s="280"/>
      <c r="C5" s="280"/>
      <c r="D5" s="280"/>
      <c r="E5" s="280"/>
      <c r="F5" s="280"/>
      <c r="G5" s="280"/>
      <c r="H5" s="280"/>
    </row>
    <row r="6" spans="1:8" ht="15">
      <c r="A6" s="246">
        <f>+A7-1</f>
        <v>1996</v>
      </c>
      <c r="B6" s="281">
        <v>3780</v>
      </c>
      <c r="C6" s="281">
        <v>6671</v>
      </c>
      <c r="D6" s="281">
        <v>8156</v>
      </c>
      <c r="E6" s="281">
        <v>9205</v>
      </c>
      <c r="F6" s="281">
        <v>9990</v>
      </c>
      <c r="G6" s="281">
        <v>10508</v>
      </c>
      <c r="H6" s="282" t="s">
        <v>7</v>
      </c>
    </row>
    <row r="7" spans="1:8" ht="15">
      <c r="A7" s="246">
        <f>+A8-1</f>
        <v>1997</v>
      </c>
      <c r="B7" s="283">
        <v>4212</v>
      </c>
      <c r="C7" s="283">
        <v>7541</v>
      </c>
      <c r="D7" s="281">
        <v>9351</v>
      </c>
      <c r="E7" s="281">
        <v>10639</v>
      </c>
      <c r="F7" s="281">
        <v>11536</v>
      </c>
      <c r="G7" s="281"/>
      <c r="H7" s="282" t="s">
        <v>7</v>
      </c>
    </row>
    <row r="8" spans="1:8" ht="15">
      <c r="A8" s="246">
        <f>+A9-1</f>
        <v>1998</v>
      </c>
      <c r="B8" s="281">
        <v>4901</v>
      </c>
      <c r="C8" s="281">
        <v>8864</v>
      </c>
      <c r="D8" s="281">
        <v>10987</v>
      </c>
      <c r="E8" s="281">
        <v>12458</v>
      </c>
      <c r="F8" s="281"/>
      <c r="G8" s="281"/>
      <c r="H8" s="282" t="s">
        <v>7</v>
      </c>
    </row>
    <row r="9" spans="1:8" ht="15">
      <c r="A9" s="246">
        <f>+A10-1</f>
        <v>1999</v>
      </c>
      <c r="B9" s="281">
        <v>5708</v>
      </c>
      <c r="C9" s="281">
        <v>10268</v>
      </c>
      <c r="D9" s="281">
        <v>12699</v>
      </c>
      <c r="E9" s="281"/>
      <c r="F9" s="281"/>
      <c r="G9" s="281"/>
      <c r="H9" s="282" t="s">
        <v>7</v>
      </c>
    </row>
    <row r="10" spans="1:8" ht="15">
      <c r="A10" s="246">
        <f>+A11-1</f>
        <v>2000</v>
      </c>
      <c r="B10" s="284">
        <v>6093</v>
      </c>
      <c r="C10" s="284">
        <v>11172</v>
      </c>
      <c r="D10" s="281"/>
      <c r="E10" s="281"/>
      <c r="F10" s="281"/>
      <c r="G10" s="281"/>
      <c r="H10" s="282" t="s">
        <v>7</v>
      </c>
    </row>
    <row r="11" spans="1:8" ht="15">
      <c r="A11" s="246">
        <f>curryr</f>
        <v>2001</v>
      </c>
      <c r="B11" s="281">
        <v>6962</v>
      </c>
      <c r="C11" s="281"/>
      <c r="D11" s="281"/>
      <c r="E11" s="281"/>
      <c r="F11" s="281"/>
      <c r="G11" s="281"/>
      <c r="H11" s="282" t="s">
        <v>7</v>
      </c>
    </row>
    <row r="15" ht="12.75">
      <c r="H15" s="19"/>
    </row>
    <row r="16" ht="12.75">
      <c r="H16" s="19"/>
    </row>
    <row r="17" ht="12.75">
      <c r="H17" s="19"/>
    </row>
    <row r="18" ht="12.75">
      <c r="H18" s="14"/>
    </row>
    <row r="19" ht="12.75">
      <c r="H19" s="14"/>
    </row>
    <row r="20" ht="12.75">
      <c r="H20" s="14"/>
    </row>
    <row r="21" ht="12.75">
      <c r="H21" s="14"/>
    </row>
    <row r="22" ht="12.75">
      <c r="H22" s="14"/>
    </row>
    <row r="23" ht="12.75">
      <c r="H23" s="14"/>
    </row>
  </sheetData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D21" sqref="D21"/>
    </sheetView>
  </sheetViews>
  <sheetFormatPr defaultColWidth="9.140625" defaultRowHeight="12.75"/>
  <sheetData>
    <row r="1" spans="1:7" ht="12.75">
      <c r="A1" s="34"/>
      <c r="B1" s="11" t="s">
        <v>136</v>
      </c>
      <c r="C1" s="12"/>
      <c r="D1" s="13"/>
      <c r="E1" s="12" t="s">
        <v>137</v>
      </c>
      <c r="F1" s="12"/>
      <c r="G1" s="13"/>
    </row>
    <row r="2" spans="1:7" ht="12.75">
      <c r="A2" s="35" t="s">
        <v>43</v>
      </c>
      <c r="B2" s="155" t="s">
        <v>89</v>
      </c>
      <c r="C2" s="148"/>
      <c r="D2" s="149"/>
      <c r="E2" s="148" t="s">
        <v>89</v>
      </c>
      <c r="F2" s="148"/>
      <c r="G2" s="149"/>
    </row>
    <row r="3" spans="1:7" ht="12.75">
      <c r="A3" s="36" t="s">
        <v>5</v>
      </c>
      <c r="B3" s="153" t="s">
        <v>91</v>
      </c>
      <c r="C3" s="153" t="s">
        <v>92</v>
      </c>
      <c r="D3" s="153" t="s">
        <v>40</v>
      </c>
      <c r="E3" s="153" t="s">
        <v>91</v>
      </c>
      <c r="F3" s="153" t="s">
        <v>92</v>
      </c>
      <c r="G3" s="153" t="s">
        <v>40</v>
      </c>
    </row>
    <row r="4" spans="1:7" ht="12.75">
      <c r="A4" s="194" t="s">
        <v>49</v>
      </c>
      <c r="B4" s="194" t="s">
        <v>51</v>
      </c>
      <c r="C4" s="195" t="s">
        <v>52</v>
      </c>
      <c r="D4" s="196" t="s">
        <v>53</v>
      </c>
      <c r="E4" s="195" t="s">
        <v>54</v>
      </c>
      <c r="F4" s="195" t="s">
        <v>55</v>
      </c>
      <c r="G4" s="196" t="s">
        <v>106</v>
      </c>
    </row>
    <row r="5" spans="1:7" ht="12.75">
      <c r="A5" s="3"/>
      <c r="B5" s="3"/>
      <c r="C5" s="4"/>
      <c r="D5" s="5"/>
      <c r="E5" s="4"/>
      <c r="F5" s="4"/>
      <c r="G5" s="5"/>
    </row>
    <row r="6" spans="1:7" ht="12.75">
      <c r="A6" s="176">
        <f>+A7-1</f>
        <v>1996</v>
      </c>
      <c r="B6" s="200">
        <f>'2-17'!F6</f>
        <v>3893.3518005540163</v>
      </c>
      <c r="C6" s="48">
        <f>'2-17'!G6</f>
        <v>3895.4293628808864</v>
      </c>
      <c r="D6" s="49">
        <f>'2-17'!H6</f>
        <v>3894.3905817174514</v>
      </c>
      <c r="E6" s="48"/>
      <c r="F6" s="48"/>
      <c r="G6" s="49"/>
    </row>
    <row r="7" spans="1:7" ht="12.75">
      <c r="A7" s="176">
        <f>+A8-1</f>
        <v>1997</v>
      </c>
      <c r="B7" s="200">
        <f>'2-17'!F7</f>
        <v>4149.888143176733</v>
      </c>
      <c r="C7" s="48">
        <f>'2-17'!G7</f>
        <v>4070.949185043145</v>
      </c>
      <c r="D7" s="49">
        <f>'2-17'!H7</f>
        <v>4110.578459571748</v>
      </c>
      <c r="E7" s="197">
        <f aca="true" t="shared" si="0" ref="E7:G11">(B7/B6)-1</f>
        <v>0.06589087135311322</v>
      </c>
      <c r="F7" s="197">
        <f t="shared" si="0"/>
        <v>0.045057888569298044</v>
      </c>
      <c r="G7" s="170">
        <f t="shared" si="0"/>
        <v>0.05551263370171666</v>
      </c>
    </row>
    <row r="8" spans="1:7" ht="12.75">
      <c r="A8" s="176">
        <f>+A9-1</f>
        <v>1998</v>
      </c>
      <c r="B8" s="200">
        <f>'2-17'!F8</f>
        <v>5021.452145214521</v>
      </c>
      <c r="C8" s="48">
        <f>'2-17'!G8</f>
        <v>4775.907590759076</v>
      </c>
      <c r="D8" s="49">
        <f>'2-17'!H8</f>
        <v>4898.679867986799</v>
      </c>
      <c r="E8" s="197">
        <f t="shared" si="0"/>
        <v>0.21002108297083089</v>
      </c>
      <c r="F8" s="197">
        <f t="shared" si="0"/>
        <v>0.17316806810214702</v>
      </c>
      <c r="G8" s="170">
        <f t="shared" si="0"/>
        <v>0.191725183247605</v>
      </c>
    </row>
    <row r="9" spans="1:7" ht="12.75">
      <c r="A9" s="176">
        <f>+A10-1</f>
        <v>1999</v>
      </c>
      <c r="B9" s="200">
        <f>'2-17'!F9</f>
        <v>6516.487587995554</v>
      </c>
      <c r="C9" s="48">
        <f>'2-17'!G9</f>
        <v>6042.237865876251</v>
      </c>
      <c r="D9" s="49">
        <f>'2-17'!H9</f>
        <v>6279.362726935902</v>
      </c>
      <c r="E9" s="197">
        <f t="shared" si="0"/>
        <v>0.297729700402664</v>
      </c>
      <c r="F9" s="197">
        <f t="shared" si="0"/>
        <v>0.26514966025879616</v>
      </c>
      <c r="G9" s="170">
        <f t="shared" si="0"/>
        <v>0.28184794600928265</v>
      </c>
    </row>
    <row r="10" spans="1:7" ht="12.75">
      <c r="A10" s="176">
        <f>+A11-1</f>
        <v>2000</v>
      </c>
      <c r="B10" s="200">
        <f>'2-17'!F10</f>
        <v>6963.921282798834</v>
      </c>
      <c r="C10" s="48">
        <f>'2-17'!G10</f>
        <v>6391.763848396502</v>
      </c>
      <c r="D10" s="49">
        <f>'2-17'!H10</f>
        <v>6677.842565597667</v>
      </c>
      <c r="E10" s="197">
        <f t="shared" si="0"/>
        <v>0.06866178884887719</v>
      </c>
      <c r="F10" s="197">
        <f t="shared" si="0"/>
        <v>0.05784710735971044</v>
      </c>
      <c r="G10" s="170">
        <f t="shared" si="0"/>
        <v>0.06345864317607397</v>
      </c>
    </row>
    <row r="11" spans="1:7" ht="12.75">
      <c r="A11" s="177">
        <f>curryr</f>
        <v>2001</v>
      </c>
      <c r="B11" s="201">
        <f>'2-17'!F11</f>
        <v>6963.937621832359</v>
      </c>
      <c r="C11" s="198">
        <f>'2-17'!G11</f>
        <v>6536.38726445744</v>
      </c>
      <c r="D11" s="202">
        <f>'2-17'!H11</f>
        <v>6750.162443144899</v>
      </c>
      <c r="E11" s="199">
        <f t="shared" si="0"/>
        <v>2.3462404097340794E-06</v>
      </c>
      <c r="F11" s="199">
        <f t="shared" si="0"/>
        <v>0.0226265268071848</v>
      </c>
      <c r="G11" s="173">
        <f t="shared" si="0"/>
        <v>0.010829826674831011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8" max="8" width="10.140625" style="0" customWidth="1"/>
  </cols>
  <sheetData>
    <row r="1" spans="1:8" ht="15">
      <c r="A1" s="326" t="s">
        <v>2</v>
      </c>
      <c r="B1" s="306" t="s">
        <v>138</v>
      </c>
      <c r="C1" s="307"/>
      <c r="D1" s="307"/>
      <c r="E1" s="307"/>
      <c r="F1" s="307"/>
      <c r="G1" s="308"/>
      <c r="H1" s="233" t="s">
        <v>15</v>
      </c>
    </row>
    <row r="2" spans="1:8" ht="15">
      <c r="A2" s="243" t="s">
        <v>5</v>
      </c>
      <c r="B2" s="245">
        <v>12</v>
      </c>
      <c r="C2" s="245">
        <v>24</v>
      </c>
      <c r="D2" s="245">
        <v>36</v>
      </c>
      <c r="E2" s="245">
        <v>48</v>
      </c>
      <c r="F2" s="245">
        <v>60</v>
      </c>
      <c r="G2" s="245">
        <v>72</v>
      </c>
      <c r="H2" s="243" t="s">
        <v>83</v>
      </c>
    </row>
    <row r="3" spans="1:8" ht="12.75">
      <c r="A3" s="329"/>
      <c r="B3" s="337"/>
      <c r="C3" s="337"/>
      <c r="D3" s="337"/>
      <c r="E3" s="337"/>
      <c r="F3" s="337"/>
      <c r="G3" s="337"/>
      <c r="H3" s="335"/>
    </row>
    <row r="4" spans="1:8" ht="15">
      <c r="A4" s="238">
        <f>+A5-1</f>
        <v>1996</v>
      </c>
      <c r="B4" s="291">
        <v>826</v>
      </c>
      <c r="C4" s="291">
        <v>2131</v>
      </c>
      <c r="D4" s="291">
        <v>2559</v>
      </c>
      <c r="E4" s="291">
        <v>2706</v>
      </c>
      <c r="F4" s="291">
        <v>2795</v>
      </c>
      <c r="G4" s="291">
        <v>2845</v>
      </c>
      <c r="H4" s="343">
        <f>unused3!I5</f>
        <v>2888</v>
      </c>
    </row>
    <row r="5" spans="1:8" ht="15">
      <c r="A5" s="238">
        <f>+A6-1</f>
        <v>1997</v>
      </c>
      <c r="B5" s="291">
        <v>782</v>
      </c>
      <c r="C5" s="291">
        <v>2308</v>
      </c>
      <c r="D5" s="291">
        <v>2738</v>
      </c>
      <c r="E5" s="291">
        <v>2957</v>
      </c>
      <c r="F5" s="291">
        <v>3049</v>
      </c>
      <c r="G5" s="344"/>
      <c r="H5" s="343">
        <f>unused3!I6</f>
        <v>3129</v>
      </c>
    </row>
    <row r="6" spans="1:8" ht="15">
      <c r="A6" s="238">
        <f>+A7-1</f>
        <v>1998</v>
      </c>
      <c r="B6" s="291">
        <v>780</v>
      </c>
      <c r="C6" s="291">
        <v>2146</v>
      </c>
      <c r="D6" s="291">
        <v>2665</v>
      </c>
      <c r="E6" s="291">
        <v>2832</v>
      </c>
      <c r="F6" s="344"/>
      <c r="G6" s="344"/>
      <c r="H6" s="343">
        <f>unused3!I7</f>
        <v>3030</v>
      </c>
    </row>
    <row r="7" spans="1:8" ht="15">
      <c r="A7" s="238">
        <f>+A8-1</f>
        <v>1999</v>
      </c>
      <c r="B7" s="291">
        <v>917</v>
      </c>
      <c r="C7" s="291">
        <v>1980</v>
      </c>
      <c r="D7" s="291">
        <v>2368</v>
      </c>
      <c r="E7" s="344"/>
      <c r="F7" s="344"/>
      <c r="G7" s="344"/>
      <c r="H7" s="343">
        <f>unused3!I8</f>
        <v>2699</v>
      </c>
    </row>
    <row r="8" spans="1:8" ht="15">
      <c r="A8" s="238">
        <f>+A9-1</f>
        <v>2000</v>
      </c>
      <c r="B8" s="291">
        <v>911</v>
      </c>
      <c r="C8" s="291">
        <v>1978</v>
      </c>
      <c r="D8" s="344"/>
      <c r="E8" s="344"/>
      <c r="F8" s="344"/>
      <c r="G8" s="344"/>
      <c r="H8" s="343">
        <f>unused3!I9</f>
        <v>2744</v>
      </c>
    </row>
    <row r="9" spans="1:8" ht="15">
      <c r="A9" s="243">
        <f>curryr</f>
        <v>2001</v>
      </c>
      <c r="B9" s="345">
        <v>1106</v>
      </c>
      <c r="C9" s="297"/>
      <c r="D9" s="297"/>
      <c r="E9" s="297"/>
      <c r="F9" s="297"/>
      <c r="G9" s="297"/>
      <c r="H9" s="298">
        <f>unused3!I10</f>
        <v>3078</v>
      </c>
    </row>
    <row r="10" spans="1:8" ht="12.75">
      <c r="A10" s="273"/>
      <c r="B10" s="273"/>
      <c r="C10" s="273"/>
      <c r="D10" s="273"/>
      <c r="E10" s="273"/>
      <c r="F10" s="273"/>
      <c r="G10" s="273"/>
      <c r="H10" s="273"/>
    </row>
    <row r="11" spans="1:8" ht="15">
      <c r="A11" s="326" t="s">
        <v>2</v>
      </c>
      <c r="B11" s="306" t="s">
        <v>139</v>
      </c>
      <c r="C11" s="307"/>
      <c r="D11" s="307"/>
      <c r="E11" s="307"/>
      <c r="F11" s="307"/>
      <c r="G11" s="308"/>
      <c r="H11" s="273"/>
    </row>
    <row r="12" spans="1:8" ht="15">
      <c r="A12" s="243" t="s">
        <v>5</v>
      </c>
      <c r="B12" s="245">
        <v>12</v>
      </c>
      <c r="C12" s="245">
        <v>24</v>
      </c>
      <c r="D12" s="245">
        <v>36</v>
      </c>
      <c r="E12" s="245">
        <v>48</v>
      </c>
      <c r="F12" s="245">
        <v>60</v>
      </c>
      <c r="G12" s="245">
        <v>72</v>
      </c>
      <c r="H12" s="273"/>
    </row>
    <row r="13" spans="1:8" ht="12.75">
      <c r="A13" s="329"/>
      <c r="B13" s="295"/>
      <c r="C13" s="295"/>
      <c r="D13" s="295"/>
      <c r="E13" s="295"/>
      <c r="F13" s="295"/>
      <c r="G13" s="296"/>
      <c r="H13" s="273"/>
    </row>
    <row r="14" spans="1:8" ht="15">
      <c r="A14" s="238">
        <f>+A15-1</f>
        <v>1996</v>
      </c>
      <c r="B14" s="346">
        <f aca="true" t="shared" si="0" ref="B14:G14">B4/$H4</f>
        <v>0.28601108033240996</v>
      </c>
      <c r="C14" s="346">
        <f t="shared" si="0"/>
        <v>0.7378808864265928</v>
      </c>
      <c r="D14" s="346">
        <f t="shared" si="0"/>
        <v>0.8860803324099723</v>
      </c>
      <c r="E14" s="346">
        <f t="shared" si="0"/>
        <v>0.9369806094182825</v>
      </c>
      <c r="F14" s="346">
        <f t="shared" si="0"/>
        <v>0.967797783933518</v>
      </c>
      <c r="G14" s="347">
        <f t="shared" si="0"/>
        <v>0.9851108033240997</v>
      </c>
      <c r="H14" s="273"/>
    </row>
    <row r="15" spans="1:8" ht="15">
      <c r="A15" s="238">
        <f>+A16-1</f>
        <v>1997</v>
      </c>
      <c r="B15" s="346">
        <f>B5/$H5</f>
        <v>0.24992010226909556</v>
      </c>
      <c r="C15" s="346">
        <f>C5/$H5</f>
        <v>0.7376158517098115</v>
      </c>
      <c r="D15" s="346">
        <f>D5/$H5</f>
        <v>0.8750399488654522</v>
      </c>
      <c r="E15" s="346">
        <f>E5/$H5</f>
        <v>0.9450303611377436</v>
      </c>
      <c r="F15" s="346">
        <f>F5/$H5</f>
        <v>0.9744327261105784</v>
      </c>
      <c r="G15" s="343"/>
      <c r="H15" s="273"/>
    </row>
    <row r="16" spans="1:8" ht="15">
      <c r="A16" s="238">
        <f>+A17-1</f>
        <v>1998</v>
      </c>
      <c r="B16" s="346">
        <f>B6/$H6</f>
        <v>0.25742574257425743</v>
      </c>
      <c r="C16" s="346">
        <f>C6/$H6</f>
        <v>0.7082508250825083</v>
      </c>
      <c r="D16" s="346">
        <f>D6/$H6</f>
        <v>0.8795379537953796</v>
      </c>
      <c r="E16" s="346">
        <f>E6/$H6</f>
        <v>0.9346534653465347</v>
      </c>
      <c r="F16" s="344"/>
      <c r="G16" s="343"/>
      <c r="H16" s="273"/>
    </row>
    <row r="17" spans="1:8" ht="15">
      <c r="A17" s="238">
        <f>+A18-1</f>
        <v>1999</v>
      </c>
      <c r="B17" s="346">
        <f>B7/$H7</f>
        <v>0.33975546498703224</v>
      </c>
      <c r="C17" s="346">
        <f>C7/$H7</f>
        <v>0.7336050389032975</v>
      </c>
      <c r="D17" s="346">
        <f>D7/$H7</f>
        <v>0.8773619859207114</v>
      </c>
      <c r="E17" s="344"/>
      <c r="F17" s="344"/>
      <c r="G17" s="343"/>
      <c r="H17" s="273"/>
    </row>
    <row r="18" spans="1:8" ht="15">
      <c r="A18" s="238">
        <f>+A19-1</f>
        <v>2000</v>
      </c>
      <c r="B18" s="346">
        <f>B8/$H8</f>
        <v>0.33199708454810495</v>
      </c>
      <c r="C18" s="346">
        <f>C8/$H8</f>
        <v>0.7208454810495627</v>
      </c>
      <c r="D18" s="344"/>
      <c r="E18" s="344"/>
      <c r="F18" s="344"/>
      <c r="G18" s="343"/>
      <c r="H18" s="273"/>
    </row>
    <row r="19" spans="1:8" ht="15">
      <c r="A19" s="243">
        <f>+A9</f>
        <v>2001</v>
      </c>
      <c r="B19" s="348">
        <f>B9/$H9</f>
        <v>0.35932423651721895</v>
      </c>
      <c r="C19" s="297"/>
      <c r="D19" s="297"/>
      <c r="E19" s="297"/>
      <c r="F19" s="297"/>
      <c r="G19" s="298"/>
      <c r="H19" s="273"/>
    </row>
    <row r="20" spans="1:8" ht="12.75">
      <c r="A20" s="273"/>
      <c r="B20" s="273"/>
      <c r="C20" s="273"/>
      <c r="D20" s="273"/>
      <c r="E20" s="273"/>
      <c r="F20" s="273"/>
      <c r="G20" s="273"/>
      <c r="H20" s="273"/>
    </row>
    <row r="21" spans="1:8" ht="15">
      <c r="A21" s="349" t="s">
        <v>140</v>
      </c>
      <c r="B21" s="350" t="s">
        <v>141</v>
      </c>
      <c r="C21" s="351"/>
      <c r="D21" s="352"/>
      <c r="E21" s="273"/>
      <c r="F21" s="273"/>
      <c r="G21" s="273"/>
      <c r="H21" s="27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8515625" style="0" customWidth="1"/>
  </cols>
  <sheetData>
    <row r="1" spans="1:7" ht="15">
      <c r="A1" s="326" t="s">
        <v>2</v>
      </c>
      <c r="B1" s="306" t="s">
        <v>142</v>
      </c>
      <c r="C1" s="307"/>
      <c r="D1" s="307"/>
      <c r="E1" s="307"/>
      <c r="F1" s="307"/>
      <c r="G1" s="308"/>
    </row>
    <row r="2" spans="1:7" ht="15">
      <c r="A2" s="243" t="s">
        <v>5</v>
      </c>
      <c r="B2" s="245">
        <v>12</v>
      </c>
      <c r="C2" s="245">
        <v>24</v>
      </c>
      <c r="D2" s="245">
        <v>36</v>
      </c>
      <c r="E2" s="245">
        <v>48</v>
      </c>
      <c r="F2" s="245">
        <v>60</v>
      </c>
      <c r="G2" s="245">
        <v>72</v>
      </c>
    </row>
    <row r="3" spans="1:7" ht="12.75">
      <c r="A3" s="329"/>
      <c r="B3" s="273"/>
      <c r="C3" s="273"/>
      <c r="D3" s="273"/>
      <c r="E3" s="273"/>
      <c r="F3" s="273"/>
      <c r="G3" s="273"/>
    </row>
    <row r="4" spans="1:7" ht="15">
      <c r="A4" s="238">
        <f>+A5-1</f>
        <v>1996</v>
      </c>
      <c r="B4" s="353">
        <f>'31'!B4</f>
        <v>5557</v>
      </c>
      <c r="C4" s="353">
        <f>'31'!C4</f>
        <v>4176</v>
      </c>
      <c r="D4" s="353">
        <f>'31'!D4</f>
        <v>2936</v>
      </c>
      <c r="E4" s="353">
        <f>'31'!E4</f>
        <v>1987</v>
      </c>
      <c r="F4" s="353">
        <f>'31'!F4</f>
        <v>1245</v>
      </c>
      <c r="G4" s="353">
        <f>'31'!G4</f>
        <v>742</v>
      </c>
    </row>
    <row r="5" spans="1:7" ht="15">
      <c r="A5" s="238">
        <f>+A6-1</f>
        <v>1997</v>
      </c>
      <c r="B5" s="353">
        <f>'31'!B5</f>
        <v>6328</v>
      </c>
      <c r="C5" s="353">
        <f>'31'!C5</f>
        <v>4664</v>
      </c>
      <c r="D5" s="353">
        <f>'31'!D5</f>
        <v>3200</v>
      </c>
      <c r="E5" s="353">
        <f>'31'!E5</f>
        <v>2051</v>
      </c>
      <c r="F5" s="353">
        <f>'31'!F5</f>
        <v>1189</v>
      </c>
      <c r="G5" s="354"/>
    </row>
    <row r="6" spans="1:7" ht="15">
      <c r="A6" s="238">
        <f>+A7-1</f>
        <v>1998</v>
      </c>
      <c r="B6" s="353">
        <f>'31'!B6</f>
        <v>6974</v>
      </c>
      <c r="C6" s="353">
        <f>'31'!C6</f>
        <v>4968</v>
      </c>
      <c r="D6" s="353">
        <f>'31'!D6</f>
        <v>3251</v>
      </c>
      <c r="E6" s="353">
        <f>'31'!E6</f>
        <v>1955</v>
      </c>
      <c r="F6" s="354"/>
      <c r="G6" s="354"/>
    </row>
    <row r="7" spans="1:7" ht="15">
      <c r="A7" s="238">
        <f>+A8-1</f>
        <v>1999</v>
      </c>
      <c r="B7" s="353">
        <f>'31'!B7</f>
        <v>7635</v>
      </c>
      <c r="C7" s="353">
        <f>'31'!C7</f>
        <v>5274</v>
      </c>
      <c r="D7" s="353">
        <f>'31'!D7</f>
        <v>3367</v>
      </c>
      <c r="E7" s="354"/>
      <c r="F7" s="354"/>
      <c r="G7" s="354"/>
    </row>
    <row r="8" spans="1:7" ht="15">
      <c r="A8" s="238">
        <f>+A9-1</f>
        <v>2000</v>
      </c>
      <c r="B8" s="353">
        <f>'31'!B8</f>
        <v>8376</v>
      </c>
      <c r="C8" s="353">
        <f>'31'!C8</f>
        <v>5604</v>
      </c>
      <c r="D8" s="354"/>
      <c r="E8" s="354"/>
      <c r="F8" s="354"/>
      <c r="G8" s="354"/>
    </row>
    <row r="9" spans="1:7" ht="15">
      <c r="A9" s="243">
        <f>curryr</f>
        <v>2001</v>
      </c>
      <c r="B9" s="353">
        <f>'31'!B9</f>
        <v>9599</v>
      </c>
      <c r="C9" s="354"/>
      <c r="D9" s="354"/>
      <c r="E9" s="354"/>
      <c r="F9" s="354"/>
      <c r="G9" s="354"/>
    </row>
    <row r="10" spans="1:7" ht="12.75">
      <c r="A10" s="273"/>
      <c r="B10" s="273"/>
      <c r="C10" s="273"/>
      <c r="D10" s="273"/>
      <c r="E10" s="273"/>
      <c r="F10" s="273"/>
      <c r="G10" s="273"/>
    </row>
    <row r="11" spans="1:7" ht="15">
      <c r="A11" s="326" t="s">
        <v>2</v>
      </c>
      <c r="B11" s="306" t="s">
        <v>143</v>
      </c>
      <c r="C11" s="307"/>
      <c r="D11" s="307"/>
      <c r="E11" s="307"/>
      <c r="F11" s="307"/>
      <c r="G11" s="308"/>
    </row>
    <row r="12" spans="1:7" ht="15">
      <c r="A12" s="243" t="s">
        <v>5</v>
      </c>
      <c r="B12" s="245">
        <v>12</v>
      </c>
      <c r="C12" s="245">
        <v>24</v>
      </c>
      <c r="D12" s="245">
        <v>36</v>
      </c>
      <c r="E12" s="245">
        <v>48</v>
      </c>
      <c r="F12" s="245">
        <v>60</v>
      </c>
      <c r="G12" s="245">
        <v>72</v>
      </c>
    </row>
    <row r="13" spans="1:7" ht="12.75">
      <c r="A13" s="329"/>
      <c r="B13" s="273"/>
      <c r="C13" s="273"/>
      <c r="D13" s="273"/>
      <c r="E13" s="273"/>
      <c r="F13" s="273"/>
      <c r="G13" s="273"/>
    </row>
    <row r="14" spans="1:7" ht="15">
      <c r="A14" s="238">
        <f>+A15-1</f>
        <v>1996</v>
      </c>
      <c r="B14" s="353">
        <f>'2-10'!B6-'2-25'!B4</f>
        <v>602</v>
      </c>
      <c r="C14" s="353">
        <f>'2-10'!C6-'2-25'!C4</f>
        <v>641</v>
      </c>
      <c r="D14" s="353">
        <f>'2-10'!D6-'2-25'!D4</f>
        <v>291</v>
      </c>
      <c r="E14" s="353">
        <f>'2-10'!E6-'2-25'!E4</f>
        <v>160</v>
      </c>
      <c r="F14" s="353">
        <f>'2-10'!F6-'2-25'!F4</f>
        <v>75</v>
      </c>
      <c r="G14" s="353">
        <f>'2-10'!G6-'2-25'!G4</f>
        <v>43</v>
      </c>
    </row>
    <row r="15" spans="1:7" ht="15">
      <c r="A15" s="238">
        <f>+A16-1</f>
        <v>1997</v>
      </c>
      <c r="B15" s="353">
        <f>'2-10'!B7-'2-25'!B5</f>
        <v>928</v>
      </c>
      <c r="C15" s="353">
        <f>'2-10'!C7-'2-25'!C5</f>
        <v>724</v>
      </c>
      <c r="D15" s="353">
        <f>'2-10'!D7-'2-25'!D5</f>
        <v>348</v>
      </c>
      <c r="E15" s="353">
        <f>'2-10'!E7-'2-25'!E5</f>
        <v>137</v>
      </c>
      <c r="F15" s="353">
        <f>'2-10'!F7-'2-25'!F5</f>
        <v>61</v>
      </c>
      <c r="G15" s="354"/>
    </row>
    <row r="16" spans="1:7" ht="15">
      <c r="A16" s="238">
        <f>+A17-1</f>
        <v>1998</v>
      </c>
      <c r="B16" s="353">
        <f>'2-10'!B8-'2-25'!B6</f>
        <v>578</v>
      </c>
      <c r="C16" s="353">
        <f>'2-10'!C8-'2-25'!C6</f>
        <v>634</v>
      </c>
      <c r="D16" s="353">
        <f>'2-10'!D8-'2-25'!D6</f>
        <v>325</v>
      </c>
      <c r="E16" s="353">
        <f>'2-10'!E8-'2-25'!E6</f>
        <v>168</v>
      </c>
      <c r="F16" s="354"/>
      <c r="G16" s="354"/>
    </row>
    <row r="17" spans="1:7" ht="15">
      <c r="A17" s="238">
        <f>+A18-1</f>
        <v>1999</v>
      </c>
      <c r="B17" s="353">
        <f>'2-10'!B9-'2-25'!B7</f>
        <v>593</v>
      </c>
      <c r="C17" s="353">
        <f>'2-10'!C9-'2-25'!C7</f>
        <v>608</v>
      </c>
      <c r="D17" s="353">
        <f>'2-10'!D9-'2-25'!D7</f>
        <v>288</v>
      </c>
      <c r="E17" s="354"/>
      <c r="F17" s="354"/>
      <c r="G17" s="354"/>
    </row>
    <row r="18" spans="1:7" ht="15">
      <c r="A18" s="238">
        <f>+A19-1</f>
        <v>2000</v>
      </c>
      <c r="B18" s="353">
        <f>'2-10'!B10-'2-25'!B8</f>
        <v>577</v>
      </c>
      <c r="C18" s="353">
        <f>'2-10'!C10-'2-25'!C8</f>
        <v>626</v>
      </c>
      <c r="D18" s="354"/>
      <c r="E18" s="354"/>
      <c r="F18" s="354"/>
      <c r="G18" s="354"/>
    </row>
    <row r="19" spans="1:7" ht="15">
      <c r="A19" s="243">
        <f>+A9</f>
        <v>2001</v>
      </c>
      <c r="B19" s="353">
        <f>'2-10'!B11-'2-25'!B9</f>
        <v>498</v>
      </c>
      <c r="C19" s="354"/>
      <c r="D19" s="354"/>
      <c r="E19" s="354"/>
      <c r="F19" s="354"/>
      <c r="G19" s="354"/>
    </row>
    <row r="20" ht="12.75">
      <c r="A20" s="27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8515625" style="0" customWidth="1"/>
  </cols>
  <sheetData>
    <row r="1" spans="1:7" ht="15">
      <c r="A1" s="326" t="s">
        <v>2</v>
      </c>
      <c r="B1" s="306" t="s">
        <v>144</v>
      </c>
      <c r="C1" s="307"/>
      <c r="D1" s="307"/>
      <c r="E1" s="307"/>
      <c r="F1" s="307"/>
      <c r="G1" s="308"/>
    </row>
    <row r="2" spans="1:7" ht="15">
      <c r="A2" s="243" t="s">
        <v>5</v>
      </c>
      <c r="B2" s="245">
        <v>12</v>
      </c>
      <c r="C2" s="245">
        <v>24</v>
      </c>
      <c r="D2" s="245">
        <v>36</v>
      </c>
      <c r="E2" s="245">
        <v>48</v>
      </c>
      <c r="F2" s="245">
        <v>60</v>
      </c>
      <c r="G2" s="245">
        <v>72</v>
      </c>
    </row>
    <row r="3" spans="1:7" ht="12.75">
      <c r="A3" s="329"/>
      <c r="B3" s="273"/>
      <c r="C3" s="273"/>
      <c r="D3" s="273"/>
      <c r="E3" s="273"/>
      <c r="F3" s="273"/>
      <c r="G3" s="273"/>
    </row>
    <row r="4" spans="1:7" ht="15">
      <c r="A4" s="238">
        <f>+A5-1</f>
        <v>1996</v>
      </c>
      <c r="B4" s="353">
        <f>'2-26'!B4/'2-26'!B14*1000</f>
        <v>9230.897009966779</v>
      </c>
      <c r="C4" s="353">
        <f>'2-26'!C4/'2-26'!C14*1000</f>
        <v>6514.820592823713</v>
      </c>
      <c r="D4" s="353">
        <f>'2-26'!D4/'2-26'!D14*1000</f>
        <v>10089.3470790378</v>
      </c>
      <c r="E4" s="353">
        <f>'2-26'!E4/'2-26'!E14*1000</f>
        <v>12418.75</v>
      </c>
      <c r="F4" s="353">
        <f>'2-26'!F4/'2-26'!F14*1000</f>
        <v>16600</v>
      </c>
      <c r="G4" s="353">
        <f>'2-26'!G4/'2-26'!G14*1000</f>
        <v>17255.81395348837</v>
      </c>
    </row>
    <row r="5" spans="1:7" ht="15">
      <c r="A5" s="238">
        <f>+A6-1</f>
        <v>1997</v>
      </c>
      <c r="B5" s="353">
        <f>'2-26'!B5/'2-26'!B15*1000</f>
        <v>6818.965517241379</v>
      </c>
      <c r="C5" s="353">
        <f>'2-26'!C5/'2-26'!C15*1000</f>
        <v>6441.988950276243</v>
      </c>
      <c r="D5" s="353">
        <f>'2-26'!D5/'2-26'!D15*1000</f>
        <v>9195.402298850575</v>
      </c>
      <c r="E5" s="353">
        <f>'2-26'!E5/'2-26'!E15*1000</f>
        <v>14970.80291970803</v>
      </c>
      <c r="F5" s="353">
        <f>'2-26'!F5/'2-26'!F15*1000</f>
        <v>19491.803278688527</v>
      </c>
      <c r="G5" s="353"/>
    </row>
    <row r="6" spans="1:7" ht="15">
      <c r="A6" s="238">
        <f>+A7-1</f>
        <v>1998</v>
      </c>
      <c r="B6" s="353">
        <f>'2-26'!B6/'2-26'!B16*1000</f>
        <v>12065.743944636677</v>
      </c>
      <c r="C6" s="353">
        <f>'2-26'!C6/'2-26'!C16*1000</f>
        <v>7835.96214511041</v>
      </c>
      <c r="D6" s="353">
        <f>'2-26'!D6/'2-26'!D16*1000</f>
        <v>10003.076923076924</v>
      </c>
      <c r="E6" s="353">
        <f>'2-26'!E6/'2-26'!E16*1000</f>
        <v>11636.904761904763</v>
      </c>
      <c r="F6" s="353"/>
      <c r="G6" s="353"/>
    </row>
    <row r="7" spans="1:7" ht="15">
      <c r="A7" s="238">
        <f>+A8-1</f>
        <v>1999</v>
      </c>
      <c r="B7" s="353">
        <f>'2-26'!B7/'2-26'!B17*1000</f>
        <v>12875.210792580103</v>
      </c>
      <c r="C7" s="353">
        <f>'2-26'!C7/'2-26'!C17*1000</f>
        <v>8674.342105263158</v>
      </c>
      <c r="D7" s="353">
        <f>'2-26'!D7/'2-26'!D17*1000</f>
        <v>11690.97222222222</v>
      </c>
      <c r="E7" s="353"/>
      <c r="F7" s="353"/>
      <c r="G7" s="353"/>
    </row>
    <row r="8" spans="1:7" ht="15">
      <c r="A8" s="238">
        <f>+A9-1</f>
        <v>2000</v>
      </c>
      <c r="B8" s="353">
        <f>'2-26'!B8/'2-26'!B18*1000</f>
        <v>14516.464471403813</v>
      </c>
      <c r="C8" s="353">
        <f>'2-26'!C8/'2-26'!C18*1000</f>
        <v>8952.076677316294</v>
      </c>
      <c r="D8" s="353"/>
      <c r="E8" s="353"/>
      <c r="F8" s="353"/>
      <c r="G8" s="353"/>
    </row>
    <row r="9" spans="1:7" ht="15">
      <c r="A9" s="243">
        <f>curryr</f>
        <v>2001</v>
      </c>
      <c r="B9" s="353">
        <f>'2-26'!B9/'2-26'!B19*1000</f>
        <v>19275.100401606425</v>
      </c>
      <c r="C9" s="354"/>
      <c r="D9" s="354"/>
      <c r="E9" s="354"/>
      <c r="F9" s="354"/>
      <c r="G9" s="354"/>
    </row>
    <row r="10" ht="12.75">
      <c r="A10" s="27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J1:O12"/>
  <sheetViews>
    <sheetView showGridLines="0" workbookViewId="0" topLeftCell="A1">
      <selection activeCell="A2" sqref="A2"/>
    </sheetView>
  </sheetViews>
  <sheetFormatPr defaultColWidth="9.140625" defaultRowHeight="12.75"/>
  <sheetData>
    <row r="1" spans="10:15" ht="12.75">
      <c r="J1" t="s">
        <v>72</v>
      </c>
      <c r="K1" t="s">
        <v>36</v>
      </c>
      <c r="L1" t="s">
        <v>145</v>
      </c>
      <c r="O1" t="s">
        <v>146</v>
      </c>
    </row>
    <row r="2" spans="10:15" ht="12.75">
      <c r="J2">
        <f>+J3-1</f>
        <v>1996</v>
      </c>
      <c r="K2">
        <f>+'2-26B'!B4</f>
        <v>9230.897009966779</v>
      </c>
      <c r="L2">
        <f aca="true" t="shared" si="0" ref="L2:L7">L3/M$3</f>
        <v>7697.094071881219</v>
      </c>
      <c r="N2">
        <v>1</v>
      </c>
      <c r="O2">
        <f aca="true" t="shared" si="1" ref="O2:O7">FORECAST(N2,K$2:K$7,N$2:N$7)</f>
        <v>7169.231737051411</v>
      </c>
    </row>
    <row r="3" spans="10:15" ht="12.75">
      <c r="J3">
        <f>+J4-1</f>
        <v>1997</v>
      </c>
      <c r="K3">
        <f>+'2-26B'!B5</f>
        <v>6818.965517241379</v>
      </c>
      <c r="L3">
        <f t="shared" si="0"/>
        <v>9139.826825171684</v>
      </c>
      <c r="M3">
        <f>L9/L8</f>
        <v>1.1874386281130447</v>
      </c>
      <c r="N3">
        <v>2</v>
      </c>
      <c r="O3">
        <f t="shared" si="1"/>
        <v>9287.031184726526</v>
      </c>
    </row>
    <row r="4" spans="10:15" ht="12.75">
      <c r="J4">
        <f>+J5-1</f>
        <v>1998</v>
      </c>
      <c r="K4">
        <f>+'2-26B'!B6</f>
        <v>12065.743944636677</v>
      </c>
      <c r="L4">
        <f t="shared" si="0"/>
        <v>10852.983426472669</v>
      </c>
      <c r="M4">
        <f>L10/L9</f>
        <v>1.1874386281130447</v>
      </c>
      <c r="N4">
        <v>3</v>
      </c>
      <c r="O4">
        <f t="shared" si="1"/>
        <v>11404.830632401638</v>
      </c>
    </row>
    <row r="5" spans="10:15" ht="12.75">
      <c r="J5">
        <f>+J6-1</f>
        <v>1999</v>
      </c>
      <c r="K5">
        <f>+'2-26B'!B7</f>
        <v>12875.210792580103</v>
      </c>
      <c r="L5">
        <f t="shared" si="0"/>
        <v>12887.251750864318</v>
      </c>
      <c r="N5">
        <v>4</v>
      </c>
      <c r="O5">
        <f t="shared" si="1"/>
        <v>13522.630080076753</v>
      </c>
    </row>
    <row r="6" spans="10:15" ht="12.75">
      <c r="J6">
        <f>+J7-1</f>
        <v>2000</v>
      </c>
      <c r="K6">
        <f>+'2-26B'!B8</f>
        <v>14516.464471403813</v>
      </c>
      <c r="L6">
        <f t="shared" si="0"/>
        <v>15302.820539193759</v>
      </c>
      <c r="M6">
        <f>LOGEST($K2:$K7,$J2:$J7,TRUE,TRUE)</f>
        <v>1.1874386281086151</v>
      </c>
      <c r="N6">
        <v>5</v>
      </c>
      <c r="O6">
        <f t="shared" si="1"/>
        <v>15640.429527751865</v>
      </c>
    </row>
    <row r="7" spans="10:15" ht="12.75">
      <c r="J7">
        <f>curryr</f>
        <v>2001</v>
      </c>
      <c r="K7">
        <f>+'2-26B'!B9</f>
        <v>19275.100401606425</v>
      </c>
      <c r="L7">
        <f t="shared" si="0"/>
        <v>18171.16022732036</v>
      </c>
      <c r="N7">
        <v>6</v>
      </c>
      <c r="O7">
        <f t="shared" si="1"/>
        <v>17758.22897542698</v>
      </c>
    </row>
    <row r="8" ht="12.75">
      <c r="L8">
        <f>GROWTH(K2:K7,,7,8)</f>
        <v>21577.13757155161</v>
      </c>
    </row>
    <row r="9" ht="12.75">
      <c r="L9">
        <f>GROWTH(K2:K7,,8)</f>
        <v>25621.526636569677</v>
      </c>
    </row>
    <row r="10" ht="12.75">
      <c r="L10">
        <f>GROWTH(K2:K7,,9)</f>
        <v>30423.990439490128</v>
      </c>
    </row>
    <row r="12" spans="12:15" ht="12.75">
      <c r="L12">
        <f>RSQ($K2:$K7,L2:L7)</f>
        <v>0.8834328090617315</v>
      </c>
      <c r="O12">
        <f>RSQ($K2:$K7,O2:O7)</f>
        <v>0.8416960382095874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N22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7" max="7" width="10.7109375" style="0" customWidth="1"/>
  </cols>
  <sheetData>
    <row r="2" spans="10:14" ht="12.75">
      <c r="J2" t="s">
        <v>36</v>
      </c>
      <c r="K2" t="s">
        <v>145</v>
      </c>
      <c r="N2" t="s">
        <v>146</v>
      </c>
    </row>
    <row r="3" spans="10:14" ht="12.75">
      <c r="J3" s="207">
        <f aca="true" t="shared" si="0" ref="J3:J8">B8</f>
        <v>28.313725490196077</v>
      </c>
      <c r="K3">
        <f aca="true" t="shared" si="1" ref="K3:K9">GROWTH(J$3:J$7,,M3)</f>
        <v>30.64781829987024</v>
      </c>
      <c r="M3">
        <v>1</v>
      </c>
      <c r="N3">
        <f aca="true" t="shared" si="2" ref="N3:N8">FORECAST(M3,J$2:J$7,M$2:M$7)</f>
        <v>30.608296625856173</v>
      </c>
    </row>
    <row r="4" spans="2:14" ht="12.75">
      <c r="B4" s="163" t="s">
        <v>147</v>
      </c>
      <c r="C4" s="174"/>
      <c r="D4" s="164"/>
      <c r="E4" s="174" t="s">
        <v>148</v>
      </c>
      <c r="F4" s="174"/>
      <c r="G4" s="164"/>
      <c r="J4" s="207">
        <f t="shared" si="0"/>
        <v>31.928571428571427</v>
      </c>
      <c r="K4">
        <f t="shared" si="1"/>
        <v>29.293758197646056</v>
      </c>
      <c r="L4">
        <f>K10/K9</f>
        <v>0.020994404691846002</v>
      </c>
      <c r="M4">
        <v>2</v>
      </c>
      <c r="N4">
        <f t="shared" si="2"/>
        <v>29.358032960757114</v>
      </c>
    </row>
    <row r="5" spans="1:14" ht="12.75">
      <c r="A5" s="34" t="s">
        <v>2</v>
      </c>
      <c r="B5" s="178"/>
      <c r="C5" s="178" t="s">
        <v>146</v>
      </c>
      <c r="D5" s="178" t="s">
        <v>149</v>
      </c>
      <c r="E5" s="175"/>
      <c r="F5" s="178" t="s">
        <v>146</v>
      </c>
      <c r="G5" s="9" t="s">
        <v>149</v>
      </c>
      <c r="J5" s="207">
        <f t="shared" si="0"/>
        <v>29.41747572815534</v>
      </c>
      <c r="K5">
        <f t="shared" si="1"/>
        <v>27.999522215445552</v>
      </c>
      <c r="L5" t="e">
        <f>K11/#REF!</f>
        <v>#REF!</v>
      </c>
      <c r="M5">
        <v>3</v>
      </c>
      <c r="N5">
        <f t="shared" si="2"/>
        <v>28.107769295658052</v>
      </c>
    </row>
    <row r="6" spans="1:14" ht="12.75">
      <c r="A6" s="36" t="s">
        <v>5</v>
      </c>
      <c r="B6" s="166" t="s">
        <v>36</v>
      </c>
      <c r="C6" s="166" t="s">
        <v>150</v>
      </c>
      <c r="D6" s="166" t="s">
        <v>150</v>
      </c>
      <c r="E6" s="177" t="s">
        <v>36</v>
      </c>
      <c r="F6" s="166" t="s">
        <v>150</v>
      </c>
      <c r="G6" s="167" t="s">
        <v>150</v>
      </c>
      <c r="J6" s="207">
        <f t="shared" si="0"/>
        <v>25.704761904761906</v>
      </c>
      <c r="K6">
        <f t="shared" si="1"/>
        <v>26.76246724656266</v>
      </c>
      <c r="M6">
        <v>4</v>
      </c>
      <c r="N6">
        <f t="shared" si="2"/>
        <v>26.857505630558993</v>
      </c>
    </row>
    <row r="7" spans="1:14" ht="12.75">
      <c r="A7" s="165"/>
      <c r="B7" s="1"/>
      <c r="C7" s="1"/>
      <c r="D7" s="2"/>
      <c r="E7" s="1"/>
      <c r="F7" s="1"/>
      <c r="G7" s="2"/>
      <c r="J7" s="207">
        <f t="shared" si="0"/>
        <v>25.174311926605505</v>
      </c>
      <c r="K7">
        <f t="shared" si="1"/>
        <v>25.580066960151235</v>
      </c>
      <c r="M7">
        <v>5</v>
      </c>
      <c r="N7">
        <f t="shared" si="2"/>
        <v>25.607241965459934</v>
      </c>
    </row>
    <row r="8" spans="1:14" ht="12.75">
      <c r="A8" s="35">
        <f>+A9-1</f>
        <v>1996</v>
      </c>
      <c r="B8" s="376">
        <f>'2-16'!D6</f>
        <v>28.313725490196077</v>
      </c>
      <c r="C8" s="169">
        <f>N3</f>
        <v>30.608296625856173</v>
      </c>
      <c r="D8" s="377">
        <f aca="true" t="shared" si="3" ref="D8:D13">K3</f>
        <v>30.64781829987024</v>
      </c>
      <c r="E8" s="48">
        <f>'2-24'!D6</f>
        <v>3894.3905817174514</v>
      </c>
      <c r="F8" s="48">
        <f aca="true" t="shared" si="4" ref="F8:F13">K15</f>
        <v>3740.3604584136674</v>
      </c>
      <c r="G8" s="49">
        <f aca="true" t="shared" si="5" ref="G8:G13">N15</f>
        <v>3625.033193336997</v>
      </c>
      <c r="H8" s="3"/>
      <c r="J8" s="207" t="str">
        <f t="shared" si="0"/>
        <v>??</v>
      </c>
      <c r="K8">
        <f t="shared" si="1"/>
        <v>24.44990664191708</v>
      </c>
      <c r="M8">
        <v>6</v>
      </c>
      <c r="N8">
        <f t="shared" si="2"/>
        <v>24.356978300360872</v>
      </c>
    </row>
    <row r="9" spans="1:13" ht="12.75">
      <c r="A9" s="35">
        <f>+A10-1</f>
        <v>1997</v>
      </c>
      <c r="B9" s="169">
        <f>'2-16'!D7</f>
        <v>31.928571428571427</v>
      </c>
      <c r="C9" s="169">
        <f>N4</f>
        <v>29.358032960757114</v>
      </c>
      <c r="D9" s="377">
        <f t="shared" si="3"/>
        <v>29.293758197646056</v>
      </c>
      <c r="E9" s="48">
        <f>'2-24'!D7</f>
        <v>4110.578459571748</v>
      </c>
      <c r="F9" s="48">
        <f t="shared" si="4"/>
        <v>4346.643820346856</v>
      </c>
      <c r="G9" s="49">
        <f t="shared" si="5"/>
        <v>4398.602016849456</v>
      </c>
      <c r="H9" s="3"/>
      <c r="K9">
        <f t="shared" si="1"/>
        <v>23.369678262754896</v>
      </c>
      <c r="M9">
        <v>7</v>
      </c>
    </row>
    <row r="10" spans="1:14" ht="12.75">
      <c r="A10" s="35">
        <f>+A11-1</f>
        <v>1998</v>
      </c>
      <c r="B10" s="169">
        <f>'2-16'!D8</f>
        <v>29.41747572815534</v>
      </c>
      <c r="C10" s="169">
        <f>N5</f>
        <v>28.107769295658052</v>
      </c>
      <c r="D10" s="377">
        <f t="shared" si="3"/>
        <v>27.999522215445552</v>
      </c>
      <c r="E10" s="48">
        <f>'2-24'!D8</f>
        <v>4898.679867986799</v>
      </c>
      <c r="F10" s="48">
        <f t="shared" si="4"/>
        <v>5051.201003491626</v>
      </c>
      <c r="G10" s="49">
        <f t="shared" si="5"/>
        <v>5172.170840361914</v>
      </c>
      <c r="H10" s="3"/>
      <c r="K10">
        <f>RSQ($J3:$J7,K3:K7)</f>
        <v>0.4906324829665129</v>
      </c>
      <c r="M10">
        <v>8</v>
      </c>
      <c r="N10">
        <f>RSQ($J3:$J7,N3:N7)</f>
        <v>0.5085777584333815</v>
      </c>
    </row>
    <row r="11" spans="1:8" ht="12.75">
      <c r="A11" s="35">
        <f>+A12-1</f>
        <v>1999</v>
      </c>
      <c r="B11" s="169">
        <f>'2-16'!D9</f>
        <v>25.704761904761906</v>
      </c>
      <c r="C11" s="169">
        <f>N6</f>
        <v>26.857505630558993</v>
      </c>
      <c r="D11" s="377">
        <f t="shared" si="3"/>
        <v>26.76246724656266</v>
      </c>
      <c r="E11" s="48">
        <f>'2-24'!D9</f>
        <v>6279.362726935902</v>
      </c>
      <c r="F11" s="48">
        <f t="shared" si="4"/>
        <v>5869.9614305270525</v>
      </c>
      <c r="G11" s="49">
        <f t="shared" si="5"/>
        <v>5945.739663874372</v>
      </c>
      <c r="H11" s="3"/>
    </row>
    <row r="12" spans="1:8" ht="12.75">
      <c r="A12" s="35">
        <f>+A13-1</f>
        <v>2000</v>
      </c>
      <c r="B12" s="169">
        <f>'2-16'!D10</f>
        <v>25.174311926605505</v>
      </c>
      <c r="C12" s="169">
        <f>N7</f>
        <v>25.607241965459934</v>
      </c>
      <c r="D12" s="377">
        <f t="shared" si="3"/>
        <v>25.580066960151235</v>
      </c>
      <c r="E12" s="48">
        <f>'2-24'!D10</f>
        <v>6677.842565597667</v>
      </c>
      <c r="F12" s="48">
        <f t="shared" si="4"/>
        <v>6821.436559752284</v>
      </c>
      <c r="G12" s="49">
        <f t="shared" si="5"/>
        <v>6719.308487386831</v>
      </c>
      <c r="H12" s="3"/>
    </row>
    <row r="13" spans="1:8" ht="12.75">
      <c r="A13" s="36">
        <f>curryr</f>
        <v>2001</v>
      </c>
      <c r="B13" s="250" t="s">
        <v>164</v>
      </c>
      <c r="C13" s="169">
        <f>ROUND(N8,1)</f>
        <v>24.4</v>
      </c>
      <c r="D13" s="378">
        <f t="shared" si="3"/>
        <v>24.44990664191708</v>
      </c>
      <c r="E13" s="250" t="s">
        <v>164</v>
      </c>
      <c r="F13" s="48">
        <f t="shared" si="4"/>
        <v>7927.138412994148</v>
      </c>
      <c r="G13" s="49">
        <f t="shared" si="5"/>
        <v>7492.87731089929</v>
      </c>
      <c r="H13" s="3"/>
    </row>
    <row r="14" spans="1:14" ht="12.75">
      <c r="A14" s="165"/>
      <c r="B14" s="1"/>
      <c r="C14" s="1"/>
      <c r="D14" s="2"/>
      <c r="E14" s="1"/>
      <c r="F14" s="1"/>
      <c r="G14" s="2"/>
      <c r="J14" t="s">
        <v>36</v>
      </c>
      <c r="K14" t="s">
        <v>145</v>
      </c>
      <c r="N14" t="s">
        <v>146</v>
      </c>
    </row>
    <row r="15" spans="1:14" ht="12.75">
      <c r="A15" s="193" t="s">
        <v>151</v>
      </c>
      <c r="B15" s="7"/>
      <c r="C15" s="28">
        <f>K10</f>
        <v>0.4906324829665129</v>
      </c>
      <c r="D15" s="208">
        <f>N10</f>
        <v>0.5085777584333815</v>
      </c>
      <c r="E15" s="7"/>
      <c r="F15" s="28">
        <f>K22</f>
        <v>0.9540959486131322</v>
      </c>
      <c r="G15" s="208">
        <f>N22</f>
        <v>0.9457390069042534</v>
      </c>
      <c r="J15" s="207">
        <f aca="true" t="shared" si="6" ref="J15:J20">E8</f>
        <v>3894.3905817174514</v>
      </c>
      <c r="K15">
        <f aca="true" t="shared" si="7" ref="K15:K21">GROWTH(J$15:J$19,,M15)</f>
        <v>3740.3604584136674</v>
      </c>
      <c r="M15">
        <v>1</v>
      </c>
      <c r="N15">
        <f aca="true" t="shared" si="8" ref="N15:N20">FORECAST(M15,J$15:J$19,M$15:M$19)</f>
        <v>3625.033193336997</v>
      </c>
    </row>
    <row r="16" spans="10:14" ht="12.75">
      <c r="J16" s="207">
        <f t="shared" si="6"/>
        <v>4110.578459571748</v>
      </c>
      <c r="K16">
        <f t="shared" si="7"/>
        <v>4346.643820346856</v>
      </c>
      <c r="L16">
        <f>K22/K21</f>
        <v>0.0001035702473745594</v>
      </c>
      <c r="M16">
        <v>2</v>
      </c>
      <c r="N16">
        <f t="shared" si="8"/>
        <v>4398.602016849456</v>
      </c>
    </row>
    <row r="17" spans="1:14" ht="12.75">
      <c r="A17" s="31" t="str">
        <f>"Selected for "&amp;A13</f>
        <v>Selected for 2001</v>
      </c>
      <c r="B17" s="209"/>
      <c r="C17" s="32"/>
      <c r="D17" s="379">
        <f>D13</f>
        <v>24.44990664191708</v>
      </c>
      <c r="E17" s="32"/>
      <c r="F17" s="32"/>
      <c r="G17" s="210">
        <f>G13</f>
        <v>7492.87731089929</v>
      </c>
      <c r="J17" s="207">
        <f t="shared" si="6"/>
        <v>4898.679867986799</v>
      </c>
      <c r="K17">
        <f t="shared" si="7"/>
        <v>5051.201003491626</v>
      </c>
      <c r="L17" t="e">
        <f>K23/#REF!</f>
        <v>#REF!</v>
      </c>
      <c r="M17">
        <v>3</v>
      </c>
      <c r="N17">
        <f t="shared" si="8"/>
        <v>5172.170840361914</v>
      </c>
    </row>
    <row r="18" spans="10:14" ht="12.75">
      <c r="J18" s="207">
        <f t="shared" si="6"/>
        <v>6279.362726935902</v>
      </c>
      <c r="K18">
        <f t="shared" si="7"/>
        <v>5869.9614305270525</v>
      </c>
      <c r="M18">
        <v>4</v>
      </c>
      <c r="N18">
        <f t="shared" si="8"/>
        <v>5945.739663874372</v>
      </c>
    </row>
    <row r="19" spans="10:14" ht="12.75">
      <c r="J19" s="207">
        <f t="shared" si="6"/>
        <v>6677.842565597667</v>
      </c>
      <c r="K19">
        <f t="shared" si="7"/>
        <v>6821.436559752284</v>
      </c>
      <c r="M19">
        <v>5</v>
      </c>
      <c r="N19">
        <f t="shared" si="8"/>
        <v>6719.308487386831</v>
      </c>
    </row>
    <row r="20" spans="10:14" ht="12.75">
      <c r="J20" s="207" t="str">
        <f t="shared" si="6"/>
        <v>??</v>
      </c>
      <c r="K20">
        <f t="shared" si="7"/>
        <v>7927.138412994148</v>
      </c>
      <c r="M20">
        <v>6</v>
      </c>
      <c r="N20">
        <f t="shared" si="8"/>
        <v>7492.87731089929</v>
      </c>
    </row>
    <row r="21" spans="11:13" ht="12.75">
      <c r="K21">
        <f t="shared" si="7"/>
        <v>9212.065943635978</v>
      </c>
      <c r="M21">
        <v>7</v>
      </c>
    </row>
    <row r="22" spans="11:14" ht="12.75">
      <c r="K22">
        <f>RSQ($J15:$J19,K15:K19)</f>
        <v>0.9540959486131322</v>
      </c>
      <c r="M22">
        <v>8</v>
      </c>
      <c r="N22">
        <f>RSQ($J15:$J19,N15:N19)</f>
        <v>0.9457390069042534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F1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5.57421875" style="0" customWidth="1"/>
    <col min="3" max="6" width="10.57421875" style="0" customWidth="1"/>
  </cols>
  <sheetData>
    <row r="2" spans="1:6" ht="12.75">
      <c r="A2" s="34" t="s">
        <v>2</v>
      </c>
      <c r="B2" s="34" t="s">
        <v>88</v>
      </c>
      <c r="C2" s="251" t="s">
        <v>15</v>
      </c>
      <c r="D2" s="252" t="s">
        <v>15</v>
      </c>
      <c r="E2" s="34" t="s">
        <v>44</v>
      </c>
      <c r="F2" s="34" t="s">
        <v>46</v>
      </c>
    </row>
    <row r="3" spans="1:6" ht="12.75">
      <c r="A3" s="36" t="s">
        <v>5</v>
      </c>
      <c r="B3" s="36" t="s">
        <v>109</v>
      </c>
      <c r="C3" s="211" t="s">
        <v>96</v>
      </c>
      <c r="D3" s="150" t="s">
        <v>152</v>
      </c>
      <c r="E3" s="36" t="s">
        <v>38</v>
      </c>
      <c r="F3" s="212" t="str">
        <f>"@ "&amp;curreval</f>
        <v>@ 12/31/01</v>
      </c>
    </row>
    <row r="4" spans="1:6" ht="12.75">
      <c r="A4" s="35"/>
      <c r="B4" s="35"/>
      <c r="C4" s="213"/>
      <c r="D4" s="214"/>
      <c r="E4" s="35"/>
      <c r="F4" s="35"/>
    </row>
    <row r="5" spans="1:6" ht="12.75">
      <c r="A5" s="35">
        <f>+A6-1</f>
        <v>1996</v>
      </c>
      <c r="B5" s="19">
        <f>'2-23'!C4</f>
        <v>102</v>
      </c>
      <c r="C5" s="380">
        <f>'2-29'!B8</f>
        <v>28.313725490196077</v>
      </c>
      <c r="D5" s="49">
        <f>'2-29'!E8</f>
        <v>3894.3905817174514</v>
      </c>
      <c r="E5" s="216">
        <f aca="true" t="shared" si="0" ref="E5:E10">ROUND(D5*C5*B5,0)/1000</f>
        <v>11247</v>
      </c>
      <c r="F5" s="217">
        <f>E5-'29'!B7</f>
        <v>739</v>
      </c>
    </row>
    <row r="6" spans="1:6" ht="12.75">
      <c r="A6" s="35">
        <f>+A7-1</f>
        <v>1997</v>
      </c>
      <c r="B6" s="19">
        <f>'2-23'!C5</f>
        <v>98</v>
      </c>
      <c r="C6" s="380">
        <f>'2-29'!B9</f>
        <v>31.928571428571427</v>
      </c>
      <c r="D6" s="216">
        <f>'2-29'!E9</f>
        <v>4110.578459571748</v>
      </c>
      <c r="E6" s="216">
        <f t="shared" si="0"/>
        <v>12862</v>
      </c>
      <c r="F6" s="217">
        <f>E6-'29'!B8</f>
        <v>1326</v>
      </c>
    </row>
    <row r="7" spans="1:6" ht="12.75">
      <c r="A7" s="35">
        <f>+A8-1</f>
        <v>1998</v>
      </c>
      <c r="B7" s="19">
        <f>'2-23'!C6</f>
        <v>103</v>
      </c>
      <c r="C7" s="380">
        <f>'2-29'!B10</f>
        <v>29.41747572815534</v>
      </c>
      <c r="D7" s="216">
        <f>'2-29'!E10</f>
        <v>4898.679867986799</v>
      </c>
      <c r="E7" s="216">
        <f t="shared" si="0"/>
        <v>14843</v>
      </c>
      <c r="F7" s="217">
        <f>E7-'29'!B9</f>
        <v>2385</v>
      </c>
    </row>
    <row r="8" spans="1:6" ht="12.75">
      <c r="A8" s="35">
        <f>+A9-1</f>
        <v>1999</v>
      </c>
      <c r="B8" s="19">
        <f>'2-23'!C7</f>
        <v>105</v>
      </c>
      <c r="C8" s="380">
        <f>'2-29'!B11</f>
        <v>25.704761904761906</v>
      </c>
      <c r="D8" s="216">
        <f>'2-29'!E11</f>
        <v>6279.362726935902</v>
      </c>
      <c r="E8" s="216">
        <f t="shared" si="0"/>
        <v>16948</v>
      </c>
      <c r="F8" s="217">
        <f>E8-'29'!B10</f>
        <v>4249</v>
      </c>
    </row>
    <row r="9" spans="1:6" ht="12.75">
      <c r="A9" s="35">
        <f>+A10-1</f>
        <v>2000</v>
      </c>
      <c r="B9" s="19">
        <f>'2-23'!C8</f>
        <v>109</v>
      </c>
      <c r="C9" s="380">
        <f>'2-29'!B12</f>
        <v>25.174311926605505</v>
      </c>
      <c r="D9" s="216">
        <f>'2-29'!E12</f>
        <v>6677.842565597667</v>
      </c>
      <c r="E9" s="216">
        <f t="shared" si="0"/>
        <v>18324</v>
      </c>
      <c r="F9" s="217">
        <f>E9-'29'!B11</f>
        <v>7152</v>
      </c>
    </row>
    <row r="10" spans="1:6" ht="12.75">
      <c r="A10" s="35">
        <f>curryr</f>
        <v>2001</v>
      </c>
      <c r="B10" s="19">
        <f>'2-23'!C9</f>
        <v>118</v>
      </c>
      <c r="C10" s="381">
        <f>'2-29'!D17</f>
        <v>24.44990664191708</v>
      </c>
      <c r="D10" s="219">
        <f>'2-29'!G17</f>
        <v>7492.87731089929</v>
      </c>
      <c r="E10" s="216">
        <f t="shared" si="0"/>
        <v>21617.618</v>
      </c>
      <c r="F10" s="220">
        <f>E10-'29'!B12</f>
        <v>14655.617999999999</v>
      </c>
    </row>
    <row r="11" spans="1:6" ht="12.75">
      <c r="A11" s="165"/>
      <c r="B11" s="34"/>
      <c r="C11" s="169"/>
      <c r="D11" s="48"/>
      <c r="E11" s="165"/>
      <c r="F11" s="204"/>
    </row>
    <row r="12" spans="1:6" ht="12.75">
      <c r="A12" s="36" t="s">
        <v>4</v>
      </c>
      <c r="B12" s="36">
        <f>SUM(B5:B11)</f>
        <v>635</v>
      </c>
      <c r="C12" s="169"/>
      <c r="D12" s="48"/>
      <c r="E12" s="219">
        <f>SUM(E5:E11)</f>
        <v>95841.618</v>
      </c>
      <c r="F12" s="219">
        <f>SUM(F5:F11)</f>
        <v>30506.618</v>
      </c>
    </row>
    <row r="13" spans="1:6" ht="12.75">
      <c r="A13" s="176"/>
      <c r="B13" s="4"/>
      <c r="C13" s="169"/>
      <c r="D13" s="48"/>
      <c r="E13" s="4"/>
      <c r="F13" s="5"/>
    </row>
    <row r="14" spans="1:6" ht="12.75">
      <c r="A14" s="176"/>
      <c r="B14" s="31" t="str">
        <f>"A Comparison of Loss Ratio Methods for "&amp;A10</f>
        <v>A Comparison of Loss Ratio Methods for 2001</v>
      </c>
      <c r="C14" s="221"/>
      <c r="D14" s="222"/>
      <c r="E14" s="174"/>
      <c r="F14" s="164"/>
    </row>
    <row r="15" spans="1:6" ht="12.75">
      <c r="A15" s="176"/>
      <c r="B15" s="203" t="s">
        <v>153</v>
      </c>
      <c r="C15" s="223"/>
      <c r="D15" s="224"/>
      <c r="E15" s="1"/>
      <c r="F15" s="225">
        <f>'2-14'!F10</f>
        <v>0.5572019028308508</v>
      </c>
    </row>
    <row r="16" spans="1:6" ht="12.75">
      <c r="A16" s="176"/>
      <c r="B16" s="3"/>
      <c r="C16" s="169"/>
      <c r="D16" s="48"/>
      <c r="E16" s="4"/>
      <c r="F16" s="226"/>
    </row>
    <row r="17" spans="1:6" ht="12.75">
      <c r="A17" s="176"/>
      <c r="B17" s="3" t="s">
        <v>154</v>
      </c>
      <c r="C17" s="169"/>
      <c r="D17" s="48"/>
      <c r="E17" s="4"/>
      <c r="F17" s="226">
        <f>'2-14'!G10</f>
        <v>0.5229925394473472</v>
      </c>
    </row>
    <row r="18" spans="1:6" ht="12.75">
      <c r="A18" s="176"/>
      <c r="B18" s="3"/>
      <c r="C18" s="169"/>
      <c r="D18" s="48"/>
      <c r="E18" s="4"/>
      <c r="F18" s="226"/>
    </row>
    <row r="19" spans="1:6" ht="12.75">
      <c r="A19" s="177"/>
      <c r="B19" s="6" t="s">
        <v>155</v>
      </c>
      <c r="C19" s="172"/>
      <c r="D19" s="198"/>
      <c r="E19" s="7"/>
      <c r="F19" s="227">
        <f>E10/'2-14'!B10</f>
        <v>0.5619490498843224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8" max="8" width="10.57421875" style="0" customWidth="1"/>
  </cols>
  <sheetData>
    <row r="1" spans="1:8" ht="12.75">
      <c r="A1" s="232" t="s">
        <v>156</v>
      </c>
      <c r="B1" s="228"/>
      <c r="C1" s="228"/>
      <c r="D1" s="228"/>
      <c r="E1" s="228"/>
      <c r="F1" s="228"/>
      <c r="G1" s="228"/>
      <c r="H1" s="228"/>
    </row>
    <row r="3" spans="1:8" s="143" customFormat="1" ht="12.75">
      <c r="A3" s="34"/>
      <c r="B3" s="34" t="s">
        <v>61</v>
      </c>
      <c r="C3" s="175"/>
      <c r="D3" s="9"/>
      <c r="E3" s="34" t="s">
        <v>38</v>
      </c>
      <c r="F3" s="34"/>
      <c r="G3" s="34" t="s">
        <v>157</v>
      </c>
      <c r="H3" s="9" t="s">
        <v>158</v>
      </c>
    </row>
    <row r="4" spans="1:8" s="143" customFormat="1" ht="12.75">
      <c r="A4" s="35" t="s">
        <v>43</v>
      </c>
      <c r="B4" s="35" t="s">
        <v>44</v>
      </c>
      <c r="C4" s="151" t="s">
        <v>159</v>
      </c>
      <c r="D4" s="152"/>
      <c r="E4" s="35" t="s">
        <v>15</v>
      </c>
      <c r="F4" s="35" t="s">
        <v>88</v>
      </c>
      <c r="G4" s="35" t="s">
        <v>42</v>
      </c>
      <c r="H4" s="10" t="s">
        <v>44</v>
      </c>
    </row>
    <row r="5" spans="1:8" s="143" customFormat="1" ht="12.75">
      <c r="A5" s="36" t="s">
        <v>5</v>
      </c>
      <c r="B5" s="212" t="str">
        <f>"@ "&amp;curreval</f>
        <v>@ 12/31/01</v>
      </c>
      <c r="C5" s="166" t="s">
        <v>170</v>
      </c>
      <c r="D5" s="166" t="s">
        <v>160</v>
      </c>
      <c r="E5" s="36" t="s">
        <v>44</v>
      </c>
      <c r="F5" s="36" t="s">
        <v>90</v>
      </c>
      <c r="G5" s="36" t="s">
        <v>161</v>
      </c>
      <c r="H5" s="212" t="str">
        <f>"@ "&amp;curreval</f>
        <v>@ 12/31/01</v>
      </c>
    </row>
    <row r="6" spans="1:8" ht="12.75">
      <c r="A6" s="165"/>
      <c r="B6" s="165"/>
      <c r="C6" s="1"/>
      <c r="D6" s="1"/>
      <c r="E6" s="165"/>
      <c r="F6" s="2"/>
      <c r="G6" s="165"/>
      <c r="H6" s="165"/>
    </row>
    <row r="7" spans="1:8" ht="12.75">
      <c r="A7" s="35">
        <f>+A8-1</f>
        <v>1996</v>
      </c>
      <c r="B7" s="216">
        <f>'33'!B7</f>
        <v>11250</v>
      </c>
      <c r="C7" s="362">
        <v>1.02</v>
      </c>
      <c r="D7" s="362">
        <f>C7</f>
        <v>1.02</v>
      </c>
      <c r="E7" s="216">
        <f aca="true" t="shared" si="0" ref="E7:E12">ROUND(D7*B7,0)</f>
        <v>11475</v>
      </c>
      <c r="F7" s="49">
        <f>'2-23'!B4</f>
        <v>18168</v>
      </c>
      <c r="G7" s="205">
        <f aca="true" t="shared" si="1" ref="G7:G12">E7/F7</f>
        <v>0.6316050198150595</v>
      </c>
      <c r="H7" s="216">
        <f>E7-'29'!B7</f>
        <v>967</v>
      </c>
    </row>
    <row r="8" spans="1:8" ht="12.75">
      <c r="A8" s="35">
        <f>+A9-1</f>
        <v>1997</v>
      </c>
      <c r="B8" s="216">
        <f>'33'!B8</f>
        <v>12725</v>
      </c>
      <c r="C8" s="229">
        <f>'32'!$F$23</f>
        <v>1.001</v>
      </c>
      <c r="D8" s="229">
        <f>ROUND(D7*C8,3)</f>
        <v>1.021</v>
      </c>
      <c r="E8" s="216">
        <f t="shared" si="0"/>
        <v>12992</v>
      </c>
      <c r="F8" s="49">
        <f>'2-23'!B5</f>
        <v>21995</v>
      </c>
      <c r="G8" s="205">
        <f t="shared" si="1"/>
        <v>0.5906796999318027</v>
      </c>
      <c r="H8" s="216">
        <f>E8-'29'!B8</f>
        <v>1456</v>
      </c>
    </row>
    <row r="9" spans="1:8" ht="12.75">
      <c r="A9" s="35">
        <f>+A10-1</f>
        <v>1998</v>
      </c>
      <c r="B9" s="216">
        <f>'33'!B9</f>
        <v>14413</v>
      </c>
      <c r="C9" s="229">
        <f>'32'!$E$23</f>
        <v>1.003</v>
      </c>
      <c r="D9" s="229">
        <f>ROUND(D8*C9,3)</f>
        <v>1.024</v>
      </c>
      <c r="E9" s="216">
        <f t="shared" si="0"/>
        <v>14759</v>
      </c>
      <c r="F9" s="49">
        <f>'2-23'!B6</f>
        <v>24173</v>
      </c>
      <c r="G9" s="205">
        <f t="shared" si="1"/>
        <v>0.6105572332767965</v>
      </c>
      <c r="H9" s="216">
        <f>E9-'29'!B9</f>
        <v>2301</v>
      </c>
    </row>
    <row r="10" spans="1:8" ht="12.75">
      <c r="A10" s="35">
        <f>+A11-1</f>
        <v>1999</v>
      </c>
      <c r="B10" s="216">
        <f>'33'!B10</f>
        <v>16066</v>
      </c>
      <c r="C10" s="229">
        <f>'32'!$D$23</f>
        <v>1.011</v>
      </c>
      <c r="D10" s="229">
        <f>ROUND(D9*C10,3)</f>
        <v>1.035</v>
      </c>
      <c r="E10" s="216">
        <f t="shared" si="0"/>
        <v>16628</v>
      </c>
      <c r="F10" s="49">
        <f>'2-23'!B7</f>
        <v>25534</v>
      </c>
      <c r="G10" s="205">
        <f t="shared" si="1"/>
        <v>0.6512101511709877</v>
      </c>
      <c r="H10" s="216">
        <f>E10-'29'!B10</f>
        <v>3929</v>
      </c>
    </row>
    <row r="11" spans="1:8" ht="12.75">
      <c r="A11" s="35">
        <f>+A12-1</f>
        <v>2000</v>
      </c>
      <c r="B11" s="216">
        <f>'33'!B11</f>
        <v>16776</v>
      </c>
      <c r="C11" s="229">
        <f>'32'!$C$23</f>
        <v>1.03</v>
      </c>
      <c r="D11" s="229">
        <f>ROUND(D10*C11,3)</f>
        <v>1.066</v>
      </c>
      <c r="E11" s="216">
        <f t="shared" si="0"/>
        <v>17883</v>
      </c>
      <c r="F11" s="49">
        <f>'2-23'!B8</f>
        <v>31341</v>
      </c>
      <c r="G11" s="205">
        <f t="shared" si="1"/>
        <v>0.570594429022686</v>
      </c>
      <c r="H11" s="216">
        <f>E11-'29'!B11</f>
        <v>6711</v>
      </c>
    </row>
    <row r="12" spans="1:8" ht="12.75">
      <c r="A12" s="36">
        <f>curryr</f>
        <v>2001</v>
      </c>
      <c r="B12" s="219">
        <f>'33'!B12</f>
        <v>16561</v>
      </c>
      <c r="C12" s="28">
        <f>'32'!$B$23</f>
        <v>1.162</v>
      </c>
      <c r="D12" s="28">
        <f>ROUND(D11*C12,3)</f>
        <v>1.239</v>
      </c>
      <c r="E12" s="219">
        <f t="shared" si="0"/>
        <v>20519</v>
      </c>
      <c r="F12" s="202">
        <f>'2-23'!B9</f>
        <v>38469</v>
      </c>
      <c r="G12" s="206">
        <f t="shared" si="1"/>
        <v>0.5333905222386857</v>
      </c>
      <c r="H12" s="219">
        <f>E12-'29'!B12</f>
        <v>13557</v>
      </c>
    </row>
    <row r="13" spans="1:8" ht="12.75">
      <c r="A13" s="204"/>
      <c r="B13" s="204"/>
      <c r="E13" s="204"/>
      <c r="F13" s="5"/>
      <c r="G13" s="204"/>
      <c r="H13" s="204"/>
    </row>
    <row r="14" spans="1:8" ht="12.75">
      <c r="A14" s="36" t="s">
        <v>4</v>
      </c>
      <c r="B14" s="220">
        <f>SUM(B7:B13)</f>
        <v>87791</v>
      </c>
      <c r="E14" s="220">
        <f>SUM(E7:E13)</f>
        <v>94256</v>
      </c>
      <c r="F14" s="51">
        <f>SUM(F7:F13)</f>
        <v>159680</v>
      </c>
      <c r="G14" s="206">
        <f>E14/F14</f>
        <v>0.5902805611222445</v>
      </c>
      <c r="H14" s="220">
        <f>SUM(H7:H13)</f>
        <v>28921</v>
      </c>
    </row>
    <row r="17" spans="1:8" ht="12.75">
      <c r="A17" s="203" t="s">
        <v>171</v>
      </c>
      <c r="B17" s="1"/>
      <c r="C17" s="1"/>
      <c r="D17" s="1"/>
      <c r="E17" s="1"/>
      <c r="F17" s="1"/>
      <c r="G17" s="1"/>
      <c r="H17" s="230">
        <f>'2-7'!C12</f>
        <v>27090</v>
      </c>
    </row>
    <row r="18" spans="1:10" ht="12.75">
      <c r="A18" s="6"/>
      <c r="B18" s="7" t="s">
        <v>162</v>
      </c>
      <c r="C18" s="7"/>
      <c r="D18" s="7"/>
      <c r="E18" s="7"/>
      <c r="F18" s="7"/>
      <c r="G18" s="7"/>
      <c r="H18" s="8"/>
      <c r="J18" s="192"/>
    </row>
    <row r="20" spans="1:8" ht="12.75">
      <c r="A20" s="31" t="s">
        <v>163</v>
      </c>
      <c r="B20" s="32"/>
      <c r="C20" s="32"/>
      <c r="D20" s="32"/>
      <c r="E20" s="32"/>
      <c r="F20" s="32"/>
      <c r="G20" s="32"/>
      <c r="H20" s="231">
        <f>(H14/H17)-1</f>
        <v>0.06758951642672573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="85" zoomScaleNormal="85" workbookViewId="0" topLeftCell="A1">
      <selection activeCell="A1" sqref="A1"/>
    </sheetView>
  </sheetViews>
  <sheetFormatPr defaultColWidth="9.140625" defaultRowHeight="12.75"/>
  <sheetData>
    <row r="1" spans="1:7" ht="12.75">
      <c r="A1" s="15"/>
      <c r="B1" s="11" t="s">
        <v>8</v>
      </c>
      <c r="C1" s="12"/>
      <c r="D1" s="12"/>
      <c r="E1" s="12"/>
      <c r="F1" s="12"/>
      <c r="G1" s="13"/>
    </row>
    <row r="2" spans="1:7" ht="12.75">
      <c r="A2" s="16" t="s">
        <v>2</v>
      </c>
      <c r="B2" s="17"/>
      <c r="C2" s="17"/>
      <c r="D2" s="17"/>
      <c r="E2" s="17"/>
      <c r="F2" s="17"/>
      <c r="G2" s="18" t="s">
        <v>9</v>
      </c>
    </row>
    <row r="3" spans="1:7" ht="12.75">
      <c r="A3" s="146" t="s">
        <v>5</v>
      </c>
      <c r="B3" s="20" t="s">
        <v>10</v>
      </c>
      <c r="C3" s="20" t="s">
        <v>11</v>
      </c>
      <c r="D3" s="20" t="s">
        <v>12</v>
      </c>
      <c r="E3" s="20" t="s">
        <v>13</v>
      </c>
      <c r="F3" s="20" t="s">
        <v>14</v>
      </c>
      <c r="G3" s="21" t="s">
        <v>15</v>
      </c>
    </row>
    <row r="4" spans="1:7" ht="12.75">
      <c r="A4" s="34">
        <f>+A5-1</f>
        <v>1996</v>
      </c>
      <c r="B4" s="37">
        <f>ROUND('24'!C6/'24'!B6,3)</f>
        <v>1.765</v>
      </c>
      <c r="C4" s="22">
        <f>ROUND('24'!D6/'24'!C6,3)</f>
        <v>1.223</v>
      </c>
      <c r="D4" s="22">
        <f>ROUND('24'!E6/'24'!D6,3)</f>
        <v>1.129</v>
      </c>
      <c r="E4" s="22">
        <f>ROUND('24'!F6/'24'!E6,3)</f>
        <v>1.085</v>
      </c>
      <c r="F4" s="22">
        <f>ROUND('24'!G6/'24'!F6,3)</f>
        <v>1.052</v>
      </c>
      <c r="G4" s="27" t="s">
        <v>7</v>
      </c>
    </row>
    <row r="5" spans="1:7" ht="12.75">
      <c r="A5" s="35">
        <f>+A6-1</f>
        <v>1997</v>
      </c>
      <c r="B5" s="361">
        <f>ROUND('24'!C7/'24'!B7,3)</f>
        <v>1.79</v>
      </c>
      <c r="C5" s="23">
        <f>ROUND('24'!D7/'24'!C7,3)</f>
        <v>1.24</v>
      </c>
      <c r="D5" s="23">
        <f>ROUND('24'!E7/'24'!D7,3)</f>
        <v>1.138</v>
      </c>
      <c r="E5" s="23">
        <f>ROUND('24'!F7/'24'!E7,3)</f>
        <v>1.084</v>
      </c>
      <c r="F5" s="23"/>
      <c r="G5" s="24"/>
    </row>
    <row r="6" spans="1:7" ht="12.75">
      <c r="A6" s="35">
        <f>+A7-1</f>
        <v>1998</v>
      </c>
      <c r="B6" s="38">
        <f>ROUND('24'!C8/'24'!B8,3)</f>
        <v>1.809</v>
      </c>
      <c r="C6" s="23">
        <f>ROUND('24'!D8/'24'!C8,3)</f>
        <v>1.24</v>
      </c>
      <c r="D6" s="23">
        <f>ROUND('24'!E8/'24'!D8,3)</f>
        <v>1.134</v>
      </c>
      <c r="E6" s="23"/>
      <c r="F6" s="23"/>
      <c r="G6" s="24"/>
    </row>
    <row r="7" spans="1:7" ht="12.75">
      <c r="A7" s="35">
        <f>+A8-1</f>
        <v>1999</v>
      </c>
      <c r="B7" s="38">
        <f>ROUND('24'!C9/'24'!B9,3)</f>
        <v>1.799</v>
      </c>
      <c r="C7" s="23">
        <f>ROUND('24'!D9/'24'!C9,3)</f>
        <v>1.237</v>
      </c>
      <c r="D7" s="23"/>
      <c r="E7" s="23"/>
      <c r="F7" s="23"/>
      <c r="G7" s="24"/>
    </row>
    <row r="8" spans="1:7" ht="12.75">
      <c r="A8" s="35">
        <f>+A9-1</f>
        <v>2000</v>
      </c>
      <c r="B8" s="38">
        <f>ROUND('24'!C10/'24'!B10,3)</f>
        <v>1.834</v>
      </c>
      <c r="C8" s="23"/>
      <c r="D8" s="23"/>
      <c r="E8" s="23"/>
      <c r="F8" s="23"/>
      <c r="G8" s="24"/>
    </row>
    <row r="9" spans="1:7" ht="12.75">
      <c r="A9" s="36">
        <f>curryr</f>
        <v>2001</v>
      </c>
      <c r="B9" s="39"/>
      <c r="C9" s="25"/>
      <c r="D9" s="25"/>
      <c r="E9" s="25"/>
      <c r="F9" s="25"/>
      <c r="G9" s="26"/>
    </row>
    <row r="11" spans="1:6" ht="12.75">
      <c r="A11" s="31" t="str">
        <f>"Sample Calculation for Accident Year "&amp;A5&amp;":"</f>
        <v>Sample Calculation for Accident Year 1997:</v>
      </c>
      <c r="B11" s="32"/>
      <c r="C11" s="32"/>
      <c r="D11" s="32"/>
      <c r="E11" s="32"/>
      <c r="F11" s="33"/>
    </row>
    <row r="12" spans="1:6" ht="12.75">
      <c r="A12" s="3"/>
      <c r="B12" s="4"/>
      <c r="C12" s="4"/>
      <c r="D12" s="4"/>
      <c r="E12" s="4"/>
      <c r="F12" s="5"/>
    </row>
    <row r="13" spans="1:6" ht="12.75">
      <c r="A13" s="6" t="s">
        <v>16</v>
      </c>
      <c r="B13" s="7"/>
      <c r="C13" s="28">
        <v>1.79</v>
      </c>
      <c r="D13" s="29" t="s">
        <v>17</v>
      </c>
      <c r="E13" s="30" t="s">
        <v>18</v>
      </c>
      <c r="F13" s="8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="85" zoomScaleNormal="85" workbookViewId="0" topLeftCell="A1">
      <selection activeCell="A9" sqref="A9"/>
    </sheetView>
  </sheetViews>
  <sheetFormatPr defaultColWidth="9.140625" defaultRowHeight="12.75"/>
  <sheetData>
    <row r="1" spans="1:7" ht="12.75">
      <c r="A1" s="15"/>
      <c r="B1" s="11" t="s">
        <v>8</v>
      </c>
      <c r="C1" s="12"/>
      <c r="D1" s="12"/>
      <c r="E1" s="12"/>
      <c r="F1" s="12"/>
      <c r="G1" s="13"/>
    </row>
    <row r="2" spans="1:7" ht="12.75">
      <c r="A2" s="16" t="s">
        <v>2</v>
      </c>
      <c r="B2" s="17"/>
      <c r="C2" s="17"/>
      <c r="D2" s="17"/>
      <c r="E2" s="17"/>
      <c r="F2" s="17"/>
      <c r="G2" s="18" t="s">
        <v>9</v>
      </c>
    </row>
    <row r="3" spans="1:7" ht="12.75">
      <c r="A3" s="146" t="s">
        <v>5</v>
      </c>
      <c r="B3" s="20" t="s">
        <v>10</v>
      </c>
      <c r="C3" s="20" t="s">
        <v>11</v>
      </c>
      <c r="D3" s="20" t="s">
        <v>12</v>
      </c>
      <c r="E3" s="20" t="s">
        <v>13</v>
      </c>
      <c r="F3" s="20" t="s">
        <v>14</v>
      </c>
      <c r="G3" s="21" t="s">
        <v>15</v>
      </c>
    </row>
    <row r="4" spans="1:7" ht="12.75">
      <c r="A4" s="34">
        <f>+A5-1</f>
        <v>1996</v>
      </c>
      <c r="B4" s="37">
        <f>ROUND('24'!C6/'24'!B6,3)</f>
        <v>1.765</v>
      </c>
      <c r="C4" s="22">
        <f>ROUND('24'!D6/'24'!C6,3)</f>
        <v>1.223</v>
      </c>
      <c r="D4" s="22">
        <f>ROUND('24'!E6/'24'!D6,3)</f>
        <v>1.129</v>
      </c>
      <c r="E4" s="22">
        <f>ROUND('24'!F6/'24'!E6,3)</f>
        <v>1.085</v>
      </c>
      <c r="F4" s="22">
        <f>ROUND('24'!G6/'24'!F6,3)</f>
        <v>1.052</v>
      </c>
      <c r="G4" s="27" t="s">
        <v>7</v>
      </c>
    </row>
    <row r="5" spans="1:7" ht="12.75">
      <c r="A5" s="35">
        <f>+A6-1</f>
        <v>1997</v>
      </c>
      <c r="B5" s="38">
        <f>ROUND('24'!C7/'24'!B7,3)</f>
        <v>1.79</v>
      </c>
      <c r="C5" s="23">
        <f>ROUND('24'!D7/'24'!C7,3)</f>
        <v>1.24</v>
      </c>
      <c r="D5" s="23">
        <f>ROUND('24'!E7/'24'!D7,3)</f>
        <v>1.138</v>
      </c>
      <c r="E5" s="23">
        <f>ROUND('24'!F7/'24'!E7,3)</f>
        <v>1.084</v>
      </c>
      <c r="F5" s="23"/>
      <c r="G5" s="24"/>
    </row>
    <row r="6" spans="1:7" ht="12.75">
      <c r="A6" s="35">
        <f>+A7-1</f>
        <v>1998</v>
      </c>
      <c r="B6" s="38">
        <f>ROUND('24'!C8/'24'!B8,3)</f>
        <v>1.809</v>
      </c>
      <c r="C6" s="23">
        <f>ROUND('24'!D8/'24'!C8,3)</f>
        <v>1.24</v>
      </c>
      <c r="D6" s="23">
        <f>ROUND('24'!E8/'24'!D8,3)</f>
        <v>1.134</v>
      </c>
      <c r="E6" s="23"/>
      <c r="F6" s="23"/>
      <c r="G6" s="24"/>
    </row>
    <row r="7" spans="1:7" ht="12.75">
      <c r="A7" s="35">
        <f>+A8-1</f>
        <v>1999</v>
      </c>
      <c r="B7" s="38">
        <f>ROUND('24'!C9/'24'!B9,3)</f>
        <v>1.799</v>
      </c>
      <c r="C7" s="23">
        <f>ROUND('24'!D9/'24'!C9,3)</f>
        <v>1.237</v>
      </c>
      <c r="D7" s="23"/>
      <c r="E7" s="23"/>
      <c r="F7" s="23"/>
      <c r="G7" s="24"/>
    </row>
    <row r="8" spans="1:7" ht="12.75">
      <c r="A8" s="35">
        <f>+A9-1</f>
        <v>2000</v>
      </c>
      <c r="B8" s="38">
        <f>ROUND('24'!C10/'24'!B10,3)</f>
        <v>1.834</v>
      </c>
      <c r="C8" s="23"/>
      <c r="D8" s="23"/>
      <c r="E8" s="23"/>
      <c r="F8" s="23"/>
      <c r="G8" s="24"/>
    </row>
    <row r="9" spans="1:7" ht="12.75">
      <c r="A9" s="36">
        <f>curryr</f>
        <v>2001</v>
      </c>
      <c r="B9" s="39"/>
      <c r="C9" s="25"/>
      <c r="D9" s="25"/>
      <c r="E9" s="25"/>
      <c r="F9" s="25"/>
      <c r="G9" s="26"/>
    </row>
    <row r="10" ht="12.75">
      <c r="A10" t="s">
        <v>19</v>
      </c>
    </row>
    <row r="11" spans="2:6" ht="12.75">
      <c r="B11" s="40">
        <f>+unused1!B12</f>
        <v>1.7993999999999999</v>
      </c>
      <c r="C11" s="40">
        <f>+unused1!C12</f>
        <v>1.235</v>
      </c>
      <c r="D11" s="40">
        <f>+unused1!D12</f>
        <v>1.1336666666666666</v>
      </c>
      <c r="E11" s="40">
        <f>+unused1!E12</f>
        <v>1.0845</v>
      </c>
      <c r="F11" s="40">
        <f>+unused1!F12</f>
        <v>1.052</v>
      </c>
    </row>
    <row r="13" ht="12.75">
      <c r="A13" t="s">
        <v>20</v>
      </c>
    </row>
    <row r="14" spans="2:6" ht="12.75">
      <c r="B14" s="40">
        <f>+unused1!B15</f>
        <v>1.814</v>
      </c>
      <c r="C14" s="40">
        <f>+unused1!C15</f>
        <v>1.239</v>
      </c>
      <c r="D14" s="40">
        <f>+unused1!D15</f>
        <v>1.1336666666666666</v>
      </c>
      <c r="E14" s="41" t="s">
        <v>21</v>
      </c>
      <c r="F14" s="41" t="s">
        <v>21</v>
      </c>
    </row>
    <row r="16" ht="12.75">
      <c r="A16" t="s">
        <v>22</v>
      </c>
    </row>
    <row r="17" spans="2:6" ht="12.75">
      <c r="B17" s="272">
        <f>+unused1!B18</f>
        <v>1.7993333333333335</v>
      </c>
      <c r="C17" s="272">
        <f>+unused1!C18</f>
        <v>1.2385000000000002</v>
      </c>
      <c r="D17" s="272">
        <f>+unused1!D18</f>
        <v>1.134</v>
      </c>
      <c r="E17" s="41" t="s">
        <v>21</v>
      </c>
      <c r="F17" s="41" t="s">
        <v>21</v>
      </c>
    </row>
    <row r="19" ht="12.75">
      <c r="A19" t="s">
        <v>23</v>
      </c>
    </row>
    <row r="20" spans="2:6" ht="12.75">
      <c r="B20" s="272">
        <f>+unused1!B21</f>
        <v>1.8027051105531708</v>
      </c>
      <c r="C20" s="272">
        <f>+unused1!C21</f>
        <v>1.2353946737044146</v>
      </c>
      <c r="D20" s="272">
        <f>+unused1!D21</f>
        <v>1.1336421702814627</v>
      </c>
      <c r="E20" s="272">
        <f>+unused1!E21</f>
        <v>1.084761136867567</v>
      </c>
      <c r="F20" s="272">
        <f>+unused1!F21</f>
        <v>1.0518518518518518</v>
      </c>
    </row>
    <row r="22" spans="1:7" ht="12.75">
      <c r="A22" s="42" t="s">
        <v>165</v>
      </c>
      <c r="B22" s="43"/>
      <c r="C22" s="43"/>
      <c r="D22" s="43"/>
      <c r="E22" s="43"/>
      <c r="F22" s="43"/>
      <c r="G22" s="44"/>
    </row>
    <row r="23" spans="1:7" ht="12.75">
      <c r="A23" s="45"/>
      <c r="B23" s="46">
        <v>1.8</v>
      </c>
      <c r="C23" s="46">
        <v>1.235</v>
      </c>
      <c r="D23" s="46">
        <v>1.134</v>
      </c>
      <c r="E23" s="46">
        <v>1.085</v>
      </c>
      <c r="F23" s="46">
        <v>1.052</v>
      </c>
      <c r="G23" s="47">
        <v>1.07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="85" zoomScaleNormal="85" workbookViewId="0" topLeftCell="A1">
      <selection activeCell="A1" sqref="A1"/>
    </sheetView>
  </sheetViews>
  <sheetFormatPr defaultColWidth="9.140625" defaultRowHeight="12.75"/>
  <sheetData>
    <row r="1" spans="1:7" ht="12.75">
      <c r="A1" s="15"/>
      <c r="B1" s="11" t="s">
        <v>8</v>
      </c>
      <c r="C1" s="12"/>
      <c r="D1" s="12"/>
      <c r="E1" s="12"/>
      <c r="F1" s="12"/>
      <c r="G1" s="13"/>
    </row>
    <row r="2" spans="1:7" ht="12.75">
      <c r="A2" s="16" t="s">
        <v>2</v>
      </c>
      <c r="B2" s="17"/>
      <c r="C2" s="17"/>
      <c r="D2" s="17"/>
      <c r="E2" s="17"/>
      <c r="F2" s="17"/>
      <c r="G2" s="18" t="s">
        <v>9</v>
      </c>
    </row>
    <row r="3" spans="1:7" ht="12.75">
      <c r="A3" s="146" t="s">
        <v>5</v>
      </c>
      <c r="B3" s="20" t="s">
        <v>10</v>
      </c>
      <c r="C3" s="20" t="s">
        <v>11</v>
      </c>
      <c r="D3" s="20" t="s">
        <v>12</v>
      </c>
      <c r="E3" s="20" t="s">
        <v>13</v>
      </c>
      <c r="F3" s="20" t="s">
        <v>14</v>
      </c>
      <c r="G3" s="21" t="s">
        <v>15</v>
      </c>
    </row>
    <row r="4" spans="1:7" ht="12.75">
      <c r="A4" s="34">
        <f>+A5-1</f>
        <v>1996</v>
      </c>
      <c r="B4" s="37">
        <f>ROUND('24'!C6/'24'!B6,3)</f>
        <v>1.765</v>
      </c>
      <c r="C4" s="22">
        <f>ROUND('24'!D6/'24'!C6,3)</f>
        <v>1.223</v>
      </c>
      <c r="D4" s="22">
        <f>ROUND('24'!E6/'24'!D6,3)</f>
        <v>1.129</v>
      </c>
      <c r="E4" s="22">
        <f>ROUND('24'!F6/'24'!E6,3)</f>
        <v>1.085</v>
      </c>
      <c r="F4" s="22">
        <f>ROUND('24'!G6/'24'!F6,3)</f>
        <v>1.052</v>
      </c>
      <c r="G4" s="27" t="s">
        <v>7</v>
      </c>
    </row>
    <row r="5" spans="1:7" ht="12.75">
      <c r="A5" s="35">
        <f>+A6-1</f>
        <v>1997</v>
      </c>
      <c r="B5" s="38">
        <f>ROUND('24'!C7/'24'!B7,3)</f>
        <v>1.79</v>
      </c>
      <c r="C5" s="23">
        <f>ROUND('24'!D7/'24'!C7,3)</f>
        <v>1.24</v>
      </c>
      <c r="D5" s="23">
        <f>ROUND('24'!E7/'24'!D7,3)</f>
        <v>1.138</v>
      </c>
      <c r="E5" s="23">
        <f>ROUND('24'!F7/'24'!E7,3)</f>
        <v>1.084</v>
      </c>
      <c r="F5" s="23"/>
      <c r="G5" s="24"/>
    </row>
    <row r="6" spans="1:7" ht="12.75">
      <c r="A6" s="35">
        <f>+A7-1</f>
        <v>1998</v>
      </c>
      <c r="B6" s="38">
        <f>ROUND('24'!C8/'24'!B8,3)</f>
        <v>1.809</v>
      </c>
      <c r="C6" s="23">
        <f>ROUND('24'!D8/'24'!C8,3)</f>
        <v>1.24</v>
      </c>
      <c r="D6" s="23">
        <f>ROUND('24'!E8/'24'!D8,3)</f>
        <v>1.134</v>
      </c>
      <c r="E6" s="23"/>
      <c r="F6" s="23"/>
      <c r="G6" s="24"/>
    </row>
    <row r="7" spans="1:7" ht="12.75">
      <c r="A7" s="35">
        <f>+A8-1</f>
        <v>1999</v>
      </c>
      <c r="B7" s="38">
        <f>ROUND('24'!C9/'24'!B9,3)</f>
        <v>1.799</v>
      </c>
      <c r="C7" s="23">
        <f>ROUND('24'!D9/'24'!C9,3)</f>
        <v>1.237</v>
      </c>
      <c r="D7" s="23"/>
      <c r="E7" s="23"/>
      <c r="F7" s="23"/>
      <c r="G7" s="24"/>
    </row>
    <row r="8" spans="1:7" ht="12.75">
      <c r="A8" s="35">
        <f>+A9-1</f>
        <v>2000</v>
      </c>
      <c r="B8" s="38">
        <f>ROUND('24'!C10/'24'!B10,3)</f>
        <v>1.834</v>
      </c>
      <c r="C8" s="23"/>
      <c r="D8" s="23"/>
      <c r="E8" s="23"/>
      <c r="F8" s="23"/>
      <c r="G8" s="24"/>
    </row>
    <row r="9" spans="1:7" ht="12.75">
      <c r="A9" s="36">
        <f>curryr</f>
        <v>2001</v>
      </c>
      <c r="B9" s="39"/>
      <c r="C9" s="25"/>
      <c r="D9" s="25"/>
      <c r="E9" s="25"/>
      <c r="F9" s="25"/>
      <c r="G9" s="26"/>
    </row>
    <row r="11" ht="12.75">
      <c r="A11" t="s">
        <v>19</v>
      </c>
    </row>
    <row r="12" spans="2:6" ht="12.75">
      <c r="B12" s="40">
        <f>AVERAGE(B4:B8)</f>
        <v>1.7993999999999999</v>
      </c>
      <c r="C12" s="40">
        <f>AVERAGE(C4:C8)</f>
        <v>1.235</v>
      </c>
      <c r="D12" s="40">
        <f>AVERAGE(D4:D8)</f>
        <v>1.1336666666666666</v>
      </c>
      <c r="E12" s="40">
        <f>AVERAGE(E4:E8)</f>
        <v>1.0845</v>
      </c>
      <c r="F12" s="40">
        <f>AVERAGE(F4:F8)</f>
        <v>1.052</v>
      </c>
    </row>
    <row r="14" ht="12.75">
      <c r="A14" t="s">
        <v>20</v>
      </c>
    </row>
    <row r="15" spans="2:6" ht="12.75">
      <c r="B15" s="40">
        <f>AVERAGE(B6:B8)</f>
        <v>1.814</v>
      </c>
      <c r="C15" s="40">
        <f>AVERAGE(C5:C7)</f>
        <v>1.239</v>
      </c>
      <c r="D15" s="40">
        <f>AVERAGE(D4:D6)</f>
        <v>1.1336666666666666</v>
      </c>
      <c r="E15" s="41" t="s">
        <v>21</v>
      </c>
      <c r="F15" s="41" t="s">
        <v>21</v>
      </c>
    </row>
    <row r="17" ht="12.75">
      <c r="A17" t="s">
        <v>22</v>
      </c>
    </row>
    <row r="18" spans="2:6" ht="12.75">
      <c r="B18" s="272">
        <f>(SUM(B4:B8)-MAX(B4:B8)-MIN(B4:B8))/(COUNT(B4:B8)-2)</f>
        <v>1.7993333333333335</v>
      </c>
      <c r="C18" s="272">
        <f>(SUM(C4:C7)-MAX(C4:C7)-MIN(C4:C7))/(COUNT(C4:C7)-2)</f>
        <v>1.2385000000000002</v>
      </c>
      <c r="D18" s="272">
        <f>(SUM(D4:D6)-MAX(D4:D6)-MIN(D4:D6))/(COUNT(D4:D6)-2)</f>
        <v>1.134</v>
      </c>
      <c r="E18" s="41" t="s">
        <v>21</v>
      </c>
      <c r="F18" s="41" t="s">
        <v>21</v>
      </c>
    </row>
    <row r="20" ht="12.75">
      <c r="A20" t="s">
        <v>23</v>
      </c>
    </row>
    <row r="21" spans="2:6" ht="12.75">
      <c r="B21" s="272">
        <f>SUM('24'!C6:C10)/SUM('24'!B6:B10)</f>
        <v>1.8027051105531708</v>
      </c>
      <c r="C21" s="272">
        <f>SUM('24'!D6:D9)/SUM('24'!C6:C9)</f>
        <v>1.2353946737044146</v>
      </c>
      <c r="D21" s="272">
        <f>SUM('24'!E6:E8)/SUM('24'!D6:D8)</f>
        <v>1.1336421702814627</v>
      </c>
      <c r="E21" s="272">
        <f>SUM('24'!F6:F7)/SUM('24'!E6:E7)</f>
        <v>1.084761136867567</v>
      </c>
      <c r="F21" s="272">
        <f>SUM('24'!G6:G6)/SUM('24'!F6:F6)</f>
        <v>1.0518518518518518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="85" zoomScaleNormal="85" workbookViewId="0" topLeftCell="A1">
      <selection activeCell="A1" sqref="A1"/>
    </sheetView>
  </sheetViews>
  <sheetFormatPr defaultColWidth="9.140625" defaultRowHeight="12.75"/>
  <sheetData>
    <row r="1" spans="1:7" ht="12.75">
      <c r="A1" s="15"/>
      <c r="B1" s="11" t="s">
        <v>8</v>
      </c>
      <c r="C1" s="12"/>
      <c r="D1" s="12"/>
      <c r="E1" s="12"/>
      <c r="F1" s="12"/>
      <c r="G1" s="13"/>
    </row>
    <row r="2" spans="1:7" ht="12.75">
      <c r="A2" s="16" t="s">
        <v>2</v>
      </c>
      <c r="B2" s="17"/>
      <c r="C2" s="17"/>
      <c r="D2" s="17"/>
      <c r="E2" s="17"/>
      <c r="F2" s="17"/>
      <c r="G2" s="18" t="s">
        <v>9</v>
      </c>
    </row>
    <row r="3" spans="1:7" ht="12.75">
      <c r="A3" s="146" t="s">
        <v>5</v>
      </c>
      <c r="B3" s="20" t="s">
        <v>10</v>
      </c>
      <c r="C3" s="20" t="s">
        <v>11</v>
      </c>
      <c r="D3" s="20" t="s">
        <v>12</v>
      </c>
      <c r="E3" s="20" t="s">
        <v>13</v>
      </c>
      <c r="F3" s="20" t="s">
        <v>14</v>
      </c>
      <c r="G3" s="21" t="s">
        <v>15</v>
      </c>
    </row>
    <row r="4" spans="1:7" ht="12.75">
      <c r="A4" s="34">
        <f>+A5-1</f>
        <v>1996</v>
      </c>
      <c r="B4" s="37">
        <f>ROUND('24'!C6/'24'!B6,3)</f>
        <v>1.765</v>
      </c>
      <c r="C4" s="22">
        <f>ROUND('24'!D6/'24'!C6,3)</f>
        <v>1.223</v>
      </c>
      <c r="D4" s="22">
        <f>ROUND('24'!E6/'24'!D6,3)</f>
        <v>1.129</v>
      </c>
      <c r="E4" s="22">
        <f>ROUND('24'!F6/'24'!E6,3)</f>
        <v>1.085</v>
      </c>
      <c r="F4" s="22">
        <f>ROUND('24'!G6/'24'!F6,3)</f>
        <v>1.052</v>
      </c>
      <c r="G4" s="360">
        <f aca="true" t="shared" si="0" ref="D4:G9">+G$23</f>
        <v>1.07</v>
      </c>
    </row>
    <row r="5" spans="1:7" ht="12.75">
      <c r="A5" s="35">
        <f>+A6-1</f>
        <v>1997</v>
      </c>
      <c r="B5" s="38">
        <f>ROUND('24'!C7/'24'!B7,3)</f>
        <v>1.79</v>
      </c>
      <c r="C5" s="23">
        <f>ROUND('24'!D7/'24'!C7,3)</f>
        <v>1.24</v>
      </c>
      <c r="D5" s="23">
        <f>ROUND('24'!E7/'24'!D7,3)</f>
        <v>1.138</v>
      </c>
      <c r="E5" s="23">
        <f>ROUND('24'!F7/'24'!E7,3)</f>
        <v>1.084</v>
      </c>
      <c r="F5" s="358">
        <f t="shared" si="0"/>
        <v>1.052</v>
      </c>
      <c r="G5" s="359">
        <f t="shared" si="0"/>
        <v>1.07</v>
      </c>
    </row>
    <row r="6" spans="1:7" ht="12.75">
      <c r="A6" s="35">
        <f>+A7-1</f>
        <v>1998</v>
      </c>
      <c r="B6" s="38">
        <f>ROUND('24'!C8/'24'!B8,3)</f>
        <v>1.809</v>
      </c>
      <c r="C6" s="23">
        <f>ROUND('24'!D8/'24'!C8,3)</f>
        <v>1.24</v>
      </c>
      <c r="D6" s="23">
        <f>ROUND('24'!E8/'24'!D8,3)</f>
        <v>1.134</v>
      </c>
      <c r="E6" s="358">
        <f t="shared" si="0"/>
        <v>1.085</v>
      </c>
      <c r="F6" s="358">
        <f t="shared" si="0"/>
        <v>1.052</v>
      </c>
      <c r="G6" s="359">
        <f t="shared" si="0"/>
        <v>1.07</v>
      </c>
    </row>
    <row r="7" spans="1:7" ht="12.75">
      <c r="A7" s="35">
        <f>+A8-1</f>
        <v>1999</v>
      </c>
      <c r="B7" s="38">
        <f>ROUND('24'!C9/'24'!B9,3)</f>
        <v>1.799</v>
      </c>
      <c r="C7" s="23">
        <f>ROUND('24'!D9/'24'!C9,3)</f>
        <v>1.237</v>
      </c>
      <c r="D7" s="358">
        <f t="shared" si="0"/>
        <v>1.134</v>
      </c>
      <c r="E7" s="358">
        <f t="shared" si="0"/>
        <v>1.085</v>
      </c>
      <c r="F7" s="358">
        <f t="shared" si="0"/>
        <v>1.052</v>
      </c>
      <c r="G7" s="359">
        <f t="shared" si="0"/>
        <v>1.07</v>
      </c>
    </row>
    <row r="8" spans="1:7" ht="12.75">
      <c r="A8" s="35">
        <f>+A9-1</f>
        <v>2000</v>
      </c>
      <c r="B8" s="38">
        <f>ROUND('24'!C10/'24'!B10,3)</f>
        <v>1.834</v>
      </c>
      <c r="C8" s="358">
        <f>+C$23</f>
        <v>1.235</v>
      </c>
      <c r="D8" s="358">
        <f t="shared" si="0"/>
        <v>1.134</v>
      </c>
      <c r="E8" s="358">
        <f t="shared" si="0"/>
        <v>1.085</v>
      </c>
      <c r="F8" s="358">
        <f t="shared" si="0"/>
        <v>1.052</v>
      </c>
      <c r="G8" s="359">
        <f t="shared" si="0"/>
        <v>1.07</v>
      </c>
    </row>
    <row r="9" spans="1:7" ht="12.75">
      <c r="A9" s="36">
        <f>curryr</f>
        <v>2001</v>
      </c>
      <c r="B9" s="355">
        <f>+B23</f>
        <v>1.8</v>
      </c>
      <c r="C9" s="356">
        <f>+C$23</f>
        <v>1.235</v>
      </c>
      <c r="D9" s="356">
        <f t="shared" si="0"/>
        <v>1.134</v>
      </c>
      <c r="E9" s="356">
        <f t="shared" si="0"/>
        <v>1.085</v>
      </c>
      <c r="F9" s="356">
        <f t="shared" si="0"/>
        <v>1.052</v>
      </c>
      <c r="G9" s="357">
        <f t="shared" si="0"/>
        <v>1.07</v>
      </c>
    </row>
    <row r="10" ht="12.75">
      <c r="A10" t="s">
        <v>19</v>
      </c>
    </row>
    <row r="11" spans="2:6" ht="12.75">
      <c r="B11" s="40">
        <f>+unused1!B12</f>
        <v>1.7993999999999999</v>
      </c>
      <c r="C11" s="40">
        <f>+unused1!C12</f>
        <v>1.235</v>
      </c>
      <c r="D11" s="40">
        <f>+unused1!D12</f>
        <v>1.1336666666666666</v>
      </c>
      <c r="E11" s="40">
        <f>+unused1!E12</f>
        <v>1.0845</v>
      </c>
      <c r="F11" s="40">
        <f>+unused1!F12</f>
        <v>1.052</v>
      </c>
    </row>
    <row r="13" ht="12.75">
      <c r="A13" t="s">
        <v>20</v>
      </c>
    </row>
    <row r="14" spans="2:6" ht="12.75">
      <c r="B14" s="40">
        <f>+unused1!B15</f>
        <v>1.814</v>
      </c>
      <c r="C14" s="40">
        <f>+unused1!C15</f>
        <v>1.239</v>
      </c>
      <c r="D14" s="40">
        <f>+unused1!D15</f>
        <v>1.1336666666666666</v>
      </c>
      <c r="E14" s="41" t="s">
        <v>21</v>
      </c>
      <c r="F14" s="41" t="s">
        <v>21</v>
      </c>
    </row>
    <row r="16" ht="12.75">
      <c r="A16" t="s">
        <v>22</v>
      </c>
    </row>
    <row r="17" spans="2:6" ht="12.75">
      <c r="B17" s="272">
        <f>+unused1!B18</f>
        <v>1.7993333333333335</v>
      </c>
      <c r="C17" s="272">
        <f>+unused1!C18</f>
        <v>1.2385000000000002</v>
      </c>
      <c r="D17" s="272">
        <f>+unused1!D18</f>
        <v>1.134</v>
      </c>
      <c r="E17" s="41" t="s">
        <v>21</v>
      </c>
      <c r="F17" s="41" t="s">
        <v>21</v>
      </c>
    </row>
    <row r="19" ht="12.75">
      <c r="A19" t="s">
        <v>23</v>
      </c>
    </row>
    <row r="20" spans="2:6" ht="12.75">
      <c r="B20" s="272">
        <f>+unused1!B21</f>
        <v>1.8027051105531708</v>
      </c>
      <c r="C20" s="272">
        <f>+unused1!C21</f>
        <v>1.2353946737044146</v>
      </c>
      <c r="D20" s="272">
        <f>+unused1!D21</f>
        <v>1.1336421702814627</v>
      </c>
      <c r="E20" s="272">
        <f>+unused1!E21</f>
        <v>1.084761136867567</v>
      </c>
      <c r="F20" s="272">
        <f>+unused1!F21</f>
        <v>1.0518518518518518</v>
      </c>
    </row>
    <row r="22" spans="1:7" ht="12.75">
      <c r="A22" s="42" t="s">
        <v>165</v>
      </c>
      <c r="B22" s="43"/>
      <c r="C22" s="43"/>
      <c r="D22" s="43"/>
      <c r="E22" s="43"/>
      <c r="F22" s="43"/>
      <c r="G22" s="44"/>
    </row>
    <row r="23" spans="1:7" ht="12.75">
      <c r="A23" s="45"/>
      <c r="B23" s="46">
        <v>1.8</v>
      </c>
      <c r="C23" s="46">
        <v>1.235</v>
      </c>
      <c r="D23" s="46">
        <v>1.134</v>
      </c>
      <c r="E23" s="46">
        <v>1.085</v>
      </c>
      <c r="F23" s="46">
        <v>1.052</v>
      </c>
      <c r="G23" s="47">
        <v>1.07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85" zoomScaleNormal="85" workbookViewId="0" topLeftCell="A1">
      <selection activeCell="A1" sqref="A1"/>
    </sheetView>
  </sheetViews>
  <sheetFormatPr defaultColWidth="9.140625" defaultRowHeight="12.75"/>
  <sheetData>
    <row r="1" spans="1:9" ht="12.75">
      <c r="A1" s="57"/>
      <c r="B1" s="82" t="s">
        <v>8</v>
      </c>
      <c r="C1" s="83"/>
      <c r="D1" s="83"/>
      <c r="E1" s="83"/>
      <c r="F1" s="83"/>
      <c r="G1" s="84"/>
      <c r="H1" s="57"/>
      <c r="I1" s="57"/>
    </row>
    <row r="2" spans="1:9" ht="12.75">
      <c r="A2" s="57"/>
      <c r="B2" s="79"/>
      <c r="C2" s="79"/>
      <c r="D2" s="79"/>
      <c r="E2" s="79"/>
      <c r="F2" s="79"/>
      <c r="G2" s="80" t="s">
        <v>9</v>
      </c>
      <c r="H2" s="57"/>
      <c r="I2" s="57"/>
    </row>
    <row r="3" spans="1:9" ht="12.75">
      <c r="A3" s="57"/>
      <c r="B3" s="81" t="s">
        <v>10</v>
      </c>
      <c r="C3" s="81" t="s">
        <v>11</v>
      </c>
      <c r="D3" s="81" t="s">
        <v>12</v>
      </c>
      <c r="E3" s="81" t="s">
        <v>13</v>
      </c>
      <c r="F3" s="81" t="s">
        <v>14</v>
      </c>
      <c r="G3" s="66" t="s">
        <v>15</v>
      </c>
      <c r="H3" s="57"/>
      <c r="I3" s="57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 t="s">
        <v>167</v>
      </c>
      <c r="B5" s="77">
        <f>'26'!B23</f>
        <v>1.8</v>
      </c>
      <c r="C5" s="77">
        <f>'26'!C23</f>
        <v>1.235</v>
      </c>
      <c r="D5" s="77">
        <f>'26'!D23</f>
        <v>1.134</v>
      </c>
      <c r="E5" s="77">
        <f>'26'!E23</f>
        <v>1.085</v>
      </c>
      <c r="F5" s="77">
        <f>'26'!F23</f>
        <v>1.052</v>
      </c>
      <c r="G5" s="77">
        <f>'26'!G23</f>
        <v>1.07</v>
      </c>
      <c r="H5" s="57"/>
      <c r="I5" s="57"/>
    </row>
    <row r="6" spans="1:9" ht="12.75">
      <c r="A6" s="57"/>
      <c r="B6" s="57"/>
      <c r="C6" s="57"/>
      <c r="D6" s="57"/>
      <c r="E6" s="57"/>
      <c r="F6" s="57"/>
      <c r="G6" s="57"/>
      <c r="H6" s="57"/>
      <c r="I6" s="57"/>
    </row>
    <row r="7" spans="1:9" ht="12.75">
      <c r="A7" s="85"/>
      <c r="B7" s="54" t="s">
        <v>0</v>
      </c>
      <c r="C7" s="55"/>
      <c r="D7" s="55"/>
      <c r="E7" s="55"/>
      <c r="F7" s="55"/>
      <c r="G7" s="56"/>
      <c r="H7" s="69" t="s">
        <v>1</v>
      </c>
      <c r="I7" s="57"/>
    </row>
    <row r="8" spans="1:9" ht="12.75">
      <c r="A8" s="86" t="s">
        <v>2</v>
      </c>
      <c r="B8" s="58" t="s">
        <v>3</v>
      </c>
      <c r="C8" s="59"/>
      <c r="D8" s="59"/>
      <c r="E8" s="59"/>
      <c r="F8" s="59"/>
      <c r="G8" s="60"/>
      <c r="H8" s="71" t="s">
        <v>4</v>
      </c>
      <c r="I8" s="57"/>
    </row>
    <row r="9" spans="1:9" ht="12.75">
      <c r="A9" s="66" t="s">
        <v>5</v>
      </c>
      <c r="B9" s="62">
        <v>12</v>
      </c>
      <c r="C9" s="62">
        <v>24</v>
      </c>
      <c r="D9" s="62">
        <v>36</v>
      </c>
      <c r="E9" s="62">
        <v>48</v>
      </c>
      <c r="F9" s="62">
        <v>60</v>
      </c>
      <c r="G9" s="62">
        <v>72</v>
      </c>
      <c r="H9" s="87" t="s">
        <v>6</v>
      </c>
      <c r="I9" s="57"/>
    </row>
    <row r="10" spans="1:9" ht="13.5" thickBot="1">
      <c r="A10" s="369">
        <f>+A11-1</f>
        <v>1996</v>
      </c>
      <c r="B10" s="88">
        <f>+'24'!B6</f>
        <v>3780</v>
      </c>
      <c r="C10" s="89">
        <f>+'24'!C6</f>
        <v>6671</v>
      </c>
      <c r="D10" s="89">
        <f>+'24'!D6</f>
        <v>8156</v>
      </c>
      <c r="E10" s="89">
        <f>+'24'!E6</f>
        <v>9205</v>
      </c>
      <c r="F10" s="89">
        <f>+'24'!F6</f>
        <v>9990</v>
      </c>
      <c r="G10" s="90">
        <f>+'24'!G6</f>
        <v>10508</v>
      </c>
      <c r="H10" s="91">
        <f aca="true" t="shared" si="0" ref="H10:H15">+G10*G$5</f>
        <v>11243.560000000001</v>
      </c>
      <c r="I10" s="57"/>
    </row>
    <row r="11" spans="1:9" ht="13.5" thickBot="1">
      <c r="A11" s="65">
        <f>+A12-1</f>
        <v>1997</v>
      </c>
      <c r="B11" s="92">
        <f>+'24'!B7</f>
        <v>4212</v>
      </c>
      <c r="C11" s="93">
        <f>+'24'!C7</f>
        <v>7541</v>
      </c>
      <c r="D11" s="93">
        <f>+'24'!D7</f>
        <v>9351</v>
      </c>
      <c r="E11" s="93">
        <f>+'24'!E7</f>
        <v>10639</v>
      </c>
      <c r="F11" s="94">
        <f>+'24'!F7</f>
        <v>11536</v>
      </c>
      <c r="G11" s="93">
        <f>+F11*F$5</f>
        <v>12135.872000000001</v>
      </c>
      <c r="H11" s="95">
        <f t="shared" si="0"/>
        <v>12985.383040000002</v>
      </c>
      <c r="I11" s="57"/>
    </row>
    <row r="12" spans="1:9" ht="13.5" thickBot="1">
      <c r="A12" s="65">
        <f>+A13-1</f>
        <v>1998</v>
      </c>
      <c r="B12" s="92">
        <f>+'24'!B8</f>
        <v>4901</v>
      </c>
      <c r="C12" s="93">
        <f>+'24'!C8</f>
        <v>8864</v>
      </c>
      <c r="D12" s="93">
        <f>+'24'!D8</f>
        <v>10987</v>
      </c>
      <c r="E12" s="94">
        <f>+'24'!E8</f>
        <v>12458</v>
      </c>
      <c r="F12" s="93">
        <f>+E12*E$5</f>
        <v>13516.93</v>
      </c>
      <c r="G12" s="93">
        <f>+F12*F$5</f>
        <v>14219.810360000001</v>
      </c>
      <c r="H12" s="95">
        <f t="shared" si="0"/>
        <v>15215.197085200003</v>
      </c>
      <c r="I12" s="57"/>
    </row>
    <row r="13" spans="1:9" ht="13.5" thickBot="1">
      <c r="A13" s="65">
        <f>+A14-1</f>
        <v>1999</v>
      </c>
      <c r="B13" s="92">
        <f>+'24'!B9</f>
        <v>5708</v>
      </c>
      <c r="C13" s="93">
        <f>+'24'!C9</f>
        <v>10268</v>
      </c>
      <c r="D13" s="94">
        <f>+'24'!D9</f>
        <v>12699</v>
      </c>
      <c r="E13" s="93">
        <f>+D13*D$5</f>
        <v>14400.666</v>
      </c>
      <c r="F13" s="93">
        <f>+E13*E$5</f>
        <v>15624.722609999999</v>
      </c>
      <c r="G13" s="93">
        <f>+F13*F$5</f>
        <v>16437.20818572</v>
      </c>
      <c r="H13" s="95">
        <f t="shared" si="0"/>
        <v>17587.8127587204</v>
      </c>
      <c r="I13" s="57"/>
    </row>
    <row r="14" spans="1:9" ht="13.5" thickBot="1">
      <c r="A14" s="65">
        <f>+A15-1</f>
        <v>2000</v>
      </c>
      <c r="B14" s="92">
        <f>+'24'!B10</f>
        <v>6093</v>
      </c>
      <c r="C14" s="94">
        <f>+'24'!C10</f>
        <v>11172</v>
      </c>
      <c r="D14" s="93">
        <f>+C14*C$5</f>
        <v>13797.420000000002</v>
      </c>
      <c r="E14" s="93">
        <f>+D14*D$5</f>
        <v>15646.274280000001</v>
      </c>
      <c r="F14" s="93">
        <f>+E14*E$5</f>
        <v>16976.2075938</v>
      </c>
      <c r="G14" s="93">
        <f>+F14*F$5</f>
        <v>17858.970388677604</v>
      </c>
      <c r="H14" s="95">
        <f t="shared" si="0"/>
        <v>19109.098315885036</v>
      </c>
      <c r="I14" s="57"/>
    </row>
    <row r="15" spans="1:9" ht="12.75">
      <c r="A15" s="66">
        <f>curryr</f>
        <v>2001</v>
      </c>
      <c r="B15" s="96">
        <f>+'24'!B11</f>
        <v>6962</v>
      </c>
      <c r="C15" s="97">
        <f>+B15*B5</f>
        <v>12531.6</v>
      </c>
      <c r="D15" s="97">
        <f>+C15*C$5</f>
        <v>15476.526000000002</v>
      </c>
      <c r="E15" s="97">
        <f>+D15*D$5</f>
        <v>17550.380484</v>
      </c>
      <c r="F15" s="97">
        <f>+E15*E$5</f>
        <v>19042.16282514</v>
      </c>
      <c r="G15" s="97">
        <f>+F15*F$5</f>
        <v>20032.35529204728</v>
      </c>
      <c r="H15" s="98">
        <f t="shared" si="0"/>
        <v>21434.62016249059</v>
      </c>
      <c r="I15" s="57"/>
    </row>
    <row r="16" spans="1:9" ht="12.75">
      <c r="A16" s="57"/>
      <c r="B16" s="57"/>
      <c r="C16" s="57"/>
      <c r="D16" s="57"/>
      <c r="E16" s="57"/>
      <c r="F16" s="57"/>
      <c r="G16" s="57"/>
      <c r="H16" s="57"/>
      <c r="I16" s="57"/>
    </row>
    <row r="17" spans="1:9" ht="12.75">
      <c r="A17" s="99" t="str">
        <f>"Sample Calculations for Accident Year "&amp;A15&amp;":"</f>
        <v>Sample Calculations for Accident Year 2001:</v>
      </c>
      <c r="B17" s="57"/>
      <c r="C17" s="57"/>
      <c r="D17" s="57"/>
      <c r="E17" s="57"/>
      <c r="F17" s="57"/>
      <c r="G17" s="57"/>
      <c r="H17" s="57"/>
      <c r="I17" s="57"/>
    </row>
    <row r="18" spans="1:9" ht="12.75">
      <c r="A18" s="57"/>
      <c r="B18" s="57"/>
      <c r="C18" s="57"/>
      <c r="D18" s="57"/>
      <c r="E18" s="57"/>
      <c r="F18" s="57"/>
      <c r="G18" s="57"/>
      <c r="H18" s="57"/>
      <c r="I18" s="99"/>
    </row>
    <row r="19" spans="1:9" ht="12.75">
      <c r="A19" s="57"/>
      <c r="B19" s="57" t="s">
        <v>24</v>
      </c>
      <c r="C19" s="57"/>
      <c r="D19" s="100" t="s">
        <v>25</v>
      </c>
      <c r="E19" s="57"/>
      <c r="F19" s="57"/>
      <c r="G19" s="57"/>
      <c r="H19" s="57"/>
      <c r="I19" s="57"/>
    </row>
    <row r="20" spans="1:9" ht="12.75">
      <c r="A20" s="57"/>
      <c r="B20" s="57" t="s">
        <v>26</v>
      </c>
      <c r="C20" s="57"/>
      <c r="D20" s="100" t="s">
        <v>27</v>
      </c>
      <c r="E20" s="57"/>
      <c r="F20" s="57"/>
      <c r="G20" s="57"/>
      <c r="H20" s="57"/>
      <c r="I20" s="57"/>
    </row>
    <row r="21" spans="1:9" ht="12.75">
      <c r="A21" s="57"/>
      <c r="B21" s="57"/>
      <c r="C21" s="101" t="s">
        <v>28</v>
      </c>
      <c r="D21" s="100" t="s">
        <v>166</v>
      </c>
      <c r="E21" s="57"/>
      <c r="F21" s="57"/>
      <c r="G21" s="57"/>
      <c r="H21" s="57"/>
      <c r="I21" s="57"/>
    </row>
    <row r="22" spans="1:9" ht="12.75">
      <c r="A22" s="57"/>
      <c r="B22" s="57"/>
      <c r="C22" s="57"/>
      <c r="D22" s="57"/>
      <c r="E22" s="57"/>
      <c r="F22" s="57"/>
      <c r="G22" s="57"/>
      <c r="H22" s="57"/>
      <c r="I22" s="57"/>
    </row>
    <row r="23" spans="1:9" ht="12.75">
      <c r="A23" s="57"/>
      <c r="B23" s="82" t="s">
        <v>29</v>
      </c>
      <c r="C23" s="83"/>
      <c r="D23" s="83"/>
      <c r="E23" s="83"/>
      <c r="F23" s="83"/>
      <c r="G23" s="84"/>
      <c r="H23" s="57"/>
      <c r="I23" s="57"/>
    </row>
    <row r="24" spans="1:9" ht="12.75">
      <c r="A24" s="57"/>
      <c r="B24" s="102" t="s">
        <v>30</v>
      </c>
      <c r="C24" s="102" t="s">
        <v>31</v>
      </c>
      <c r="D24" s="102" t="s">
        <v>32</v>
      </c>
      <c r="E24" s="102" t="s">
        <v>33</v>
      </c>
      <c r="F24" s="102" t="s">
        <v>34</v>
      </c>
      <c r="G24" s="102" t="s">
        <v>35</v>
      </c>
      <c r="H24" s="57"/>
      <c r="I24" s="57"/>
    </row>
    <row r="25" spans="1:9" ht="12.75">
      <c r="A25" s="57"/>
      <c r="B25" s="103"/>
      <c r="C25" s="104"/>
      <c r="D25" s="104"/>
      <c r="E25" s="104"/>
      <c r="F25" s="104"/>
      <c r="G25" s="105"/>
      <c r="H25" s="57"/>
      <c r="I25" s="57"/>
    </row>
    <row r="26" spans="1:9" ht="12.75">
      <c r="A26" s="57"/>
      <c r="B26" s="106">
        <f>(C26*B5)</f>
        <v>3.078802091710801</v>
      </c>
      <c r="C26" s="107">
        <f>(D26*C5)</f>
        <v>1.7104456065060005</v>
      </c>
      <c r="D26" s="107">
        <f>(E26*D5)</f>
        <v>1.3849761996000003</v>
      </c>
      <c r="E26" s="107">
        <f>(F26*E5)</f>
        <v>1.2213194000000003</v>
      </c>
      <c r="F26" s="107">
        <f>(G26*F5)</f>
        <v>1.1256400000000002</v>
      </c>
      <c r="G26" s="108">
        <f>G5</f>
        <v>1.07</v>
      </c>
      <c r="H26" s="57"/>
      <c r="I26" s="57"/>
    </row>
    <row r="27" spans="1:9" ht="12.75">
      <c r="A27" s="57"/>
      <c r="B27" s="57"/>
      <c r="C27" s="57"/>
      <c r="D27" s="57"/>
      <c r="E27" s="57"/>
      <c r="F27" s="57"/>
      <c r="G27" s="57"/>
      <c r="H27" s="57"/>
      <c r="I27" s="57"/>
    </row>
    <row r="28" spans="2:9" ht="12.75">
      <c r="B28" s="57"/>
      <c r="C28" s="57"/>
      <c r="D28" s="57"/>
      <c r="E28" s="57"/>
      <c r="F28" s="57"/>
      <c r="G28" s="57"/>
      <c r="H28" s="57"/>
      <c r="I28" s="57"/>
    </row>
    <row r="29" spans="1:9" ht="12.75">
      <c r="A29" s="57"/>
      <c r="B29" s="57"/>
      <c r="C29" s="57"/>
      <c r="D29" s="57"/>
      <c r="E29" s="57"/>
      <c r="F29" s="57"/>
      <c r="G29" s="57"/>
      <c r="H29" s="57"/>
      <c r="I29" s="57"/>
    </row>
    <row r="30" spans="1:9" ht="12.75">
      <c r="A30" s="57"/>
      <c r="B30" s="57"/>
      <c r="C30" s="57"/>
      <c r="D30" s="57"/>
      <c r="E30" s="57"/>
      <c r="F30" s="57"/>
      <c r="G30" s="57"/>
      <c r="H30" s="57"/>
      <c r="I30" s="57"/>
    </row>
    <row r="31" spans="1:9" ht="12.75">
      <c r="A31" s="57"/>
      <c r="B31" s="57"/>
      <c r="C31" s="57"/>
      <c r="D31" s="57"/>
      <c r="E31" s="57"/>
      <c r="F31" s="57"/>
      <c r="G31" s="57"/>
      <c r="H31" s="57"/>
      <c r="I31" s="57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4" max="4" width="11.28125" style="0" customWidth="1"/>
    <col min="5" max="5" width="10.28125" style="0" customWidth="1"/>
    <col min="6" max="6" width="9.8515625" style="0" customWidth="1"/>
    <col min="7" max="7" width="11.28125" style="0" customWidth="1"/>
  </cols>
  <sheetData>
    <row r="1" spans="1:7" ht="12.75">
      <c r="A1" s="63"/>
      <c r="B1" s="68" t="s">
        <v>36</v>
      </c>
      <c r="C1" s="68"/>
      <c r="D1" s="68" t="s">
        <v>37</v>
      </c>
      <c r="E1" s="68" t="s">
        <v>38</v>
      </c>
      <c r="F1" s="68" t="s">
        <v>36</v>
      </c>
      <c r="G1" s="69" t="s">
        <v>38</v>
      </c>
    </row>
    <row r="2" spans="1:7" ht="12.75">
      <c r="A2" s="64"/>
      <c r="B2" s="70" t="s">
        <v>39</v>
      </c>
      <c r="C2" s="70"/>
      <c r="D2" s="70" t="s">
        <v>41</v>
      </c>
      <c r="E2" s="70" t="s">
        <v>15</v>
      </c>
      <c r="F2" s="70" t="s">
        <v>39</v>
      </c>
      <c r="G2" s="71" t="s">
        <v>42</v>
      </c>
    </row>
    <row r="3" spans="1:7" ht="12.75">
      <c r="A3" s="64" t="s">
        <v>43</v>
      </c>
      <c r="B3" s="70" t="s">
        <v>44</v>
      </c>
      <c r="C3" s="70" t="s">
        <v>40</v>
      </c>
      <c r="D3" s="70" t="s">
        <v>45</v>
      </c>
      <c r="E3" s="70" t="s">
        <v>44</v>
      </c>
      <c r="F3" s="70" t="s">
        <v>44</v>
      </c>
      <c r="G3" s="71" t="s">
        <v>46</v>
      </c>
    </row>
    <row r="4" spans="1:7" ht="12.75">
      <c r="A4" s="61" t="s">
        <v>5</v>
      </c>
      <c r="B4" s="72" t="str">
        <f>"@ "&amp;curreval</f>
        <v>@ 12/31/01</v>
      </c>
      <c r="C4" s="73" t="s">
        <v>167</v>
      </c>
      <c r="D4" s="73" t="s">
        <v>15</v>
      </c>
      <c r="E4" s="72" t="s">
        <v>47</v>
      </c>
      <c r="F4" s="72" t="str">
        <f>"@ "&amp;curreval</f>
        <v>@ 12/31/01</v>
      </c>
      <c r="G4" s="67" t="s">
        <v>48</v>
      </c>
    </row>
    <row r="5" spans="1:7" ht="12.75">
      <c r="A5" s="74" t="s">
        <v>49</v>
      </c>
      <c r="B5" s="74" t="s">
        <v>50</v>
      </c>
      <c r="C5" s="74" t="s">
        <v>51</v>
      </c>
      <c r="D5" s="74" t="s">
        <v>52</v>
      </c>
      <c r="E5" s="74" t="s">
        <v>53</v>
      </c>
      <c r="F5" s="74" t="s">
        <v>54</v>
      </c>
      <c r="G5" s="74" t="s">
        <v>55</v>
      </c>
    </row>
    <row r="6" spans="1:7" ht="12.75">
      <c r="A6" s="57"/>
      <c r="B6" s="57"/>
      <c r="C6" s="57"/>
      <c r="D6" s="57"/>
      <c r="E6" s="57"/>
      <c r="F6" s="57"/>
      <c r="G6" s="57"/>
    </row>
    <row r="7" spans="1:7" ht="12.75">
      <c r="A7" s="70">
        <f>+A8-1</f>
        <v>1996</v>
      </c>
      <c r="B7" s="76">
        <f>'24'!G6</f>
        <v>10508</v>
      </c>
      <c r="C7" s="77">
        <f>'28'!G5</f>
        <v>1.07</v>
      </c>
      <c r="D7" s="77">
        <f>'28'!G26</f>
        <v>1.07</v>
      </c>
      <c r="E7" s="76">
        <f aca="true" t="shared" si="0" ref="E7:E12">ROUND(D7*B7,0)</f>
        <v>11244</v>
      </c>
      <c r="F7" s="78">
        <f aca="true" t="shared" si="1" ref="F7:F12">B7</f>
        <v>10508</v>
      </c>
      <c r="G7" s="78">
        <f aca="true" t="shared" si="2" ref="G7:G12">E7-F7</f>
        <v>736</v>
      </c>
    </row>
    <row r="8" spans="1:7" ht="12.75">
      <c r="A8" s="70">
        <f>+A9-1</f>
        <v>1997</v>
      </c>
      <c r="B8" s="76">
        <f>'24'!F7</f>
        <v>11536</v>
      </c>
      <c r="C8" s="77">
        <f>'28'!F5</f>
        <v>1.052</v>
      </c>
      <c r="D8" s="77">
        <f>'28'!F26</f>
        <v>1.1256400000000002</v>
      </c>
      <c r="E8" s="76">
        <f t="shared" si="0"/>
        <v>12985</v>
      </c>
      <c r="F8" s="78">
        <f t="shared" si="1"/>
        <v>11536</v>
      </c>
      <c r="G8" s="78">
        <f t="shared" si="2"/>
        <v>1449</v>
      </c>
    </row>
    <row r="9" spans="1:7" ht="12.75">
      <c r="A9" s="70">
        <f>+A10-1</f>
        <v>1998</v>
      </c>
      <c r="B9" s="76">
        <f>'24'!E8</f>
        <v>12458</v>
      </c>
      <c r="C9" s="77">
        <f>'28'!E5</f>
        <v>1.085</v>
      </c>
      <c r="D9" s="77">
        <f>'28'!E26</f>
        <v>1.2213194000000003</v>
      </c>
      <c r="E9" s="76">
        <f t="shared" si="0"/>
        <v>15215</v>
      </c>
      <c r="F9" s="78">
        <f t="shared" si="1"/>
        <v>12458</v>
      </c>
      <c r="G9" s="78">
        <f t="shared" si="2"/>
        <v>2757</v>
      </c>
    </row>
    <row r="10" spans="1:7" ht="12.75">
      <c r="A10" s="70">
        <f>+A11-1</f>
        <v>1999</v>
      </c>
      <c r="B10" s="76">
        <f>'24'!D9</f>
        <v>12699</v>
      </c>
      <c r="C10" s="77">
        <f>'28'!D5</f>
        <v>1.134</v>
      </c>
      <c r="D10" s="77">
        <f>'28'!D26</f>
        <v>1.3849761996000003</v>
      </c>
      <c r="E10" s="76">
        <f t="shared" si="0"/>
        <v>17588</v>
      </c>
      <c r="F10" s="78">
        <f t="shared" si="1"/>
        <v>12699</v>
      </c>
      <c r="G10" s="78">
        <f t="shared" si="2"/>
        <v>4889</v>
      </c>
    </row>
    <row r="11" spans="1:7" ht="12.75">
      <c r="A11" s="70">
        <f>+A12-1</f>
        <v>2000</v>
      </c>
      <c r="B11" s="76">
        <f>'24'!C10</f>
        <v>11172</v>
      </c>
      <c r="C11" s="77">
        <f>'28'!C5</f>
        <v>1.235</v>
      </c>
      <c r="D11" s="77">
        <f>'28'!C26</f>
        <v>1.7104456065060005</v>
      </c>
      <c r="E11" s="76">
        <f t="shared" si="0"/>
        <v>19109</v>
      </c>
      <c r="F11" s="78">
        <f t="shared" si="1"/>
        <v>11172</v>
      </c>
      <c r="G11" s="78">
        <f t="shared" si="2"/>
        <v>7937</v>
      </c>
    </row>
    <row r="12" spans="1:7" ht="12.75">
      <c r="A12" s="70">
        <f>curryr</f>
        <v>2001</v>
      </c>
      <c r="B12" s="76">
        <f>'24'!B11</f>
        <v>6962</v>
      </c>
      <c r="C12" s="77">
        <f>'28'!B5</f>
        <v>1.8</v>
      </c>
      <c r="D12" s="77">
        <f>'28'!B26</f>
        <v>3.078802091710801</v>
      </c>
      <c r="E12" s="76">
        <f t="shared" si="0"/>
        <v>21435</v>
      </c>
      <c r="F12" s="78">
        <f t="shared" si="1"/>
        <v>6962</v>
      </c>
      <c r="G12" s="78">
        <f t="shared" si="2"/>
        <v>14473</v>
      </c>
    </row>
    <row r="13" spans="1:7" ht="12.75">
      <c r="A13" s="57"/>
      <c r="B13" s="57"/>
      <c r="C13" s="57"/>
      <c r="D13" s="57"/>
      <c r="E13" s="57"/>
      <c r="F13" s="57"/>
      <c r="G13" s="57"/>
    </row>
    <row r="14" spans="1:7" ht="12.75">
      <c r="A14" s="75" t="s">
        <v>4</v>
      </c>
      <c r="B14" s="78">
        <f>SUM(B7:B13)</f>
        <v>65335</v>
      </c>
      <c r="C14" s="78"/>
      <c r="D14" s="78"/>
      <c r="E14" s="78">
        <f>SUM(E7:E13)</f>
        <v>97576</v>
      </c>
      <c r="F14" s="78">
        <f>SUM(F7:F13)</f>
        <v>65335</v>
      </c>
      <c r="G14" s="78">
        <f>SUM(G7:G13)</f>
        <v>32241</v>
      </c>
    </row>
    <row r="15" spans="1:7" ht="12.75">
      <c r="A15" s="57"/>
      <c r="B15" s="57"/>
      <c r="C15" s="57"/>
      <c r="D15" s="57"/>
      <c r="E15" s="57"/>
      <c r="F15" s="57"/>
      <c r="G15" s="57"/>
    </row>
    <row r="16" spans="1:7" ht="12.75">
      <c r="A16" s="57"/>
      <c r="C16" s="57"/>
      <c r="D16" s="57"/>
      <c r="E16" s="57"/>
      <c r="F16" s="57"/>
      <c r="G16" s="57"/>
    </row>
    <row r="17" spans="1:7" ht="12.75">
      <c r="A17" s="57"/>
      <c r="C17" s="57"/>
      <c r="D17" s="57"/>
      <c r="E17" s="57"/>
      <c r="F17" s="57"/>
      <c r="G17" s="57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Computer Systems Support</cp:lastModifiedBy>
  <cp:lastPrinted>2000-06-28T18:30:08Z</cp:lastPrinted>
  <dcterms:created xsi:type="dcterms:W3CDTF">1998-08-02T21:18:35Z</dcterms:created>
  <dcterms:modified xsi:type="dcterms:W3CDTF">2002-06-21T12:12:06Z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