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casact.sharepoint.com/sites/AdmissionsTeamandCollaborators/Shared Documents/Cert Product Collab/Sample Items/Summer 2026 - Exams 8 &amp; 9/"/>
    </mc:Choice>
  </mc:AlternateContent>
  <xr:revisionPtr revIDLastSave="806" documentId="8_{ADD57CF1-1CB7-4AD5-80E4-EF9F8C1BB73F}" xr6:coauthVersionLast="47" xr6:coauthVersionMax="47" xr10:uidLastSave="{8ABE8C50-0722-4544-9D48-8E0833570E60}"/>
  <bookViews>
    <workbookView xWindow="-110" yWindow="-110" windowWidth="19420" windowHeight="11500" activeTab="11" xr2:uid="{6B57DA70-CA04-46D1-BA51-1807B95B298A}"/>
  </bookViews>
  <sheets>
    <sheet name="Item 1" sheetId="1" r:id="rId1"/>
    <sheet name="Answer 1" sheetId="2" r:id="rId2"/>
    <sheet name="Item 2" sheetId="3" r:id="rId3"/>
    <sheet name="Answer 2" sheetId="4" r:id="rId4"/>
    <sheet name="Item 3" sheetId="5" r:id="rId5"/>
    <sheet name="Answer 3" sheetId="6" r:id="rId6"/>
    <sheet name="Item 4" sheetId="7" r:id="rId7"/>
    <sheet name="Answer 4" sheetId="8" r:id="rId8"/>
    <sheet name="Item 5" sheetId="11" r:id="rId9"/>
    <sheet name="Answer 5" sheetId="12" r:id="rId10"/>
    <sheet name="Item 6" sheetId="13" r:id="rId11"/>
    <sheet name="Answer 6" sheetId="1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6" i="8" l="1"/>
  <c r="D45" i="8"/>
  <c r="D44" i="8"/>
  <c r="D43" i="8"/>
  <c r="D42" i="8"/>
  <c r="D41" i="8"/>
  <c r="D40" i="8"/>
  <c r="C46" i="8"/>
  <c r="C45" i="8"/>
  <c r="C44" i="8"/>
  <c r="C43" i="8"/>
  <c r="C42" i="8"/>
  <c r="C41" i="8"/>
  <c r="C40" i="8"/>
  <c r="E40" i="8" s="1"/>
  <c r="G51" i="8" s="1"/>
  <c r="F70" i="8"/>
  <c r="F69" i="8"/>
  <c r="F68" i="8"/>
  <c r="F67" i="8"/>
  <c r="F62" i="8"/>
  <c r="F61" i="8"/>
  <c r="F60" i="8"/>
  <c r="F59" i="8"/>
  <c r="F54" i="8"/>
  <c r="F53" i="8"/>
  <c r="F52" i="8"/>
  <c r="F51" i="8"/>
  <c r="H63" i="6"/>
  <c r="F64" i="6" s="1"/>
  <c r="F65" i="6" s="1"/>
  <c r="F66" i="6" s="1"/>
  <c r="D63" i="6"/>
  <c r="D56" i="6"/>
  <c r="F53" i="6"/>
  <c r="E55" i="6" s="1"/>
  <c r="D52" i="6"/>
  <c r="H45" i="6"/>
  <c r="F46" i="6" s="1"/>
  <c r="F47" i="6" s="1"/>
  <c r="F48" i="6" s="1"/>
  <c r="F45" i="6"/>
  <c r="D46" i="6" s="1"/>
  <c r="D47" i="6" s="1"/>
  <c r="D45" i="6"/>
  <c r="D64" i="6"/>
  <c r="D65" i="6" s="1"/>
  <c r="E30" i="6"/>
  <c r="E36" i="6" s="1"/>
  <c r="E78" i="4"/>
  <c r="E77" i="4"/>
  <c r="E76" i="4"/>
  <c r="E75" i="4"/>
  <c r="E74" i="4"/>
  <c r="E73" i="4"/>
  <c r="E72" i="4"/>
  <c r="F73" i="4" s="1"/>
  <c r="D78" i="4"/>
  <c r="D77" i="4"/>
  <c r="D76" i="4"/>
  <c r="D75" i="4"/>
  <c r="D74" i="4"/>
  <c r="D73" i="4"/>
  <c r="D72" i="4"/>
  <c r="E57" i="4"/>
  <c r="E58" i="4"/>
  <c r="E59" i="4"/>
  <c r="E60" i="4"/>
  <c r="E61" i="4"/>
  <c r="E62" i="4"/>
  <c r="E63" i="4"/>
  <c r="E64" i="4"/>
  <c r="E65" i="4"/>
  <c r="E66" i="4"/>
  <c r="E67" i="4"/>
  <c r="E68" i="4"/>
  <c r="E56" i="4"/>
  <c r="F57" i="4" s="1"/>
  <c r="D54" i="4"/>
  <c r="C34" i="2"/>
  <c r="D34" i="2" s="1"/>
  <c r="C33" i="2"/>
  <c r="D33" i="2" s="1"/>
  <c r="C32" i="2"/>
  <c r="D32" i="2" s="1"/>
  <c r="D28" i="2"/>
  <c r="F28" i="2" s="1"/>
  <c r="D27" i="2"/>
  <c r="F27" i="2" s="1"/>
  <c r="E45" i="8" l="1"/>
  <c r="E44" i="8"/>
  <c r="G68" i="8" s="1"/>
  <c r="E46" i="8"/>
  <c r="E42" i="8"/>
  <c r="E43" i="8"/>
  <c r="E41" i="8"/>
  <c r="F57" i="6"/>
  <c r="E39" i="6"/>
  <c r="F58" i="4"/>
  <c r="F59" i="4" s="1"/>
  <c r="F60" i="4" s="1"/>
  <c r="F61" i="4" s="1"/>
  <c r="F62" i="4" s="1"/>
  <c r="F63" i="4" s="1"/>
  <c r="F64" i="4" s="1"/>
  <c r="F65" i="4" s="1"/>
  <c r="F66" i="4" s="1"/>
  <c r="I70" i="4" s="1"/>
  <c r="F74" i="4"/>
  <c r="F75" i="4" s="1"/>
  <c r="F76" i="4" s="1"/>
  <c r="F77" i="4" s="1"/>
  <c r="F78" i="4" s="1"/>
  <c r="F79" i="4" s="1"/>
  <c r="I56" i="4" a="1"/>
  <c r="I69" i="4" s="1"/>
  <c r="G28" i="2"/>
  <c r="I28" i="2"/>
  <c r="G27" i="2"/>
  <c r="I27" i="2"/>
  <c r="E34" i="2"/>
  <c r="E33" i="2"/>
  <c r="F29" i="2" s="1"/>
  <c r="E32" i="2"/>
  <c r="G70" i="8" l="1"/>
  <c r="G62" i="8"/>
  <c r="G54" i="8"/>
  <c r="G67" i="8"/>
  <c r="G53" i="8"/>
  <c r="G61" i="8"/>
  <c r="G52" i="8"/>
  <c r="G56" i="8" s="1"/>
  <c r="G60" i="8"/>
  <c r="G59" i="8"/>
  <c r="G69" i="8"/>
  <c r="I29" i="2"/>
  <c r="G29" i="2"/>
  <c r="G72" i="8" l="1"/>
  <c r="G64" i="8"/>
  <c r="G74" i="8" l="1"/>
  <c r="G75" i="8" s="1"/>
  <c r="I56"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<sst xmlns="http://schemas.openxmlformats.org/spreadsheetml/2006/main" count="623" uniqueCount="317">
  <si>
    <t>Given the following information for a single trended loss to an event excess of loss (XOL) treaty:</t>
  </si>
  <si>
    <t/>
  </si>
  <si>
    <t>Trended Loss:</t>
  </si>
  <si>
    <t>Trended allocated loss adjustment expenses (ALAE):</t>
  </si>
  <si>
    <t>Treaty Attachment:</t>
  </si>
  <si>
    <t>Treaty Limit:</t>
  </si>
  <si>
    <t>Calculate the reinsurance recoverable amount subject to the treaty.</t>
  </si>
  <si>
    <t>a. 0.5 point</t>
  </si>
  <si>
    <t>Assuming ALAE is included.</t>
  </si>
  <si>
    <t>b. 0.5 point</t>
  </si>
  <si>
    <t>Assuming ALAE is excluded.</t>
  </si>
  <si>
    <t>c. 0.75 point</t>
  </si>
  <si>
    <t>Assuming ALAE is included pro-rata.</t>
  </si>
  <si>
    <t>Enter your final response for part a in cell D13:</t>
  </si>
  <si>
    <t>Enter your final response for part b in cell D14:</t>
  </si>
  <si>
    <t>Enter your final response for part c in cell D15:</t>
  </si>
  <si>
    <t>SHOW ALL WORK.</t>
  </si>
  <si>
    <t>Points:</t>
  </si>
  <si>
    <t>1.75 points</t>
  </si>
  <si>
    <t>Item Type:</t>
  </si>
  <si>
    <t>Spreadsheet</t>
  </si>
  <si>
    <t>Domain:</t>
  </si>
  <si>
    <t>C: Catastrophe and Reinsurance</t>
  </si>
  <si>
    <t>Subdomain:</t>
  </si>
  <si>
    <t>n/a</t>
  </si>
  <si>
    <t>Task:</t>
  </si>
  <si>
    <t>2: Determine the loss cost of various types of reinsurance contracts (e.g., excess of loss, quota share, surplus share, treaty, aggregate excess of loss, and facultative).</t>
  </si>
  <si>
    <t>Reference:</t>
  </si>
  <si>
    <t>Clark, D.R., "Basics of Reinsurance Pricing," CAS Study Note, Revised 2014. (pg 24-25)</t>
  </si>
  <si>
    <t>Source Label:</t>
  </si>
  <si>
    <t>Retired</t>
  </si>
  <si>
    <t>Administration:</t>
  </si>
  <si>
    <t>Spring 2026</t>
  </si>
  <si>
    <t xml:space="preserve">Selection Criteria: </t>
  </si>
  <si>
    <t>Candidates did very well.</t>
  </si>
  <si>
    <t>Correct / Full-credit Answer/ Shown Work:</t>
  </si>
  <si>
    <t>Subject to Treaty</t>
  </si>
  <si>
    <t>Above Treaty</t>
  </si>
  <si>
    <t>a</t>
  </si>
  <si>
    <t>Subject Loss =</t>
  </si>
  <si>
    <t>b</t>
  </si>
  <si>
    <t>c</t>
  </si>
  <si>
    <t>Loss</t>
  </si>
  <si>
    <t>ALAE</t>
  </si>
  <si>
    <t>Loss+ALAE</t>
  </si>
  <si>
    <t>Retained</t>
  </si>
  <si>
    <t>In Treaty</t>
  </si>
  <si>
    <t>Full Credit Narrative:</t>
  </si>
  <si>
    <t>0.25pt subject loss, 0.25 recoverable (going straight to recoverable is full points)</t>
  </si>
  <si>
    <t>0.25pt subject loss</t>
  </si>
  <si>
    <t>0.25pt subject ALAE</t>
  </si>
  <si>
    <t>0.25pt recoverable</t>
  </si>
  <si>
    <t>Pitfalls / Mistakes:</t>
  </si>
  <si>
    <t>Forgetting to include BOTH loss and ALAE in response.</t>
  </si>
  <si>
    <t>The table below represents the annual probability of occurrence for each event and the associated loss.</t>
  </si>
  <si>
    <t>The number of events per year is not limited to 1.</t>
  </si>
  <si>
    <t>Event i</t>
  </si>
  <si>
    <t xml:space="preserve">Annual </t>
  </si>
  <si>
    <t>Event loss</t>
  </si>
  <si>
    <t xml:space="preserve">probability of </t>
  </si>
  <si>
    <t>occurrence</t>
  </si>
  <si>
    <t>a. 0.25 point</t>
  </si>
  <si>
    <t>Calculate the average annual loss.</t>
  </si>
  <si>
    <t>b. 0.75 point</t>
  </si>
  <si>
    <t>Calculate the conditional exceedance probability that the catastrophe event loss will exceed 9,000,000.</t>
  </si>
  <si>
    <t>Assume only events 4, 5, and 6 are possible to occur in a year. Calculate the aggregate exceedance probability that the</t>
  </si>
  <si>
    <t>aggregate loss will exceed 12,000,000.</t>
  </si>
  <si>
    <t>d. 0.75 point</t>
  </si>
  <si>
    <t>An insurer covers a predefined set of catastrophic events for its current portfolio. Each event is assumed to have the same</t>
  </si>
  <si>
    <t>probability of occurrence. The company plans to expand the business by adding 1 of the 3 portfolios, A, B, or C, that are</t>
  </si>
  <si>
    <t>affected by the same set of catastrophic events as the existing portfolio.</t>
  </si>
  <si>
    <t>Given the additional losses for each portfolio, identify the one that can keep the mean and variation of the total loss</t>
  </si>
  <si>
    <t>at a minimum for the insurer and justify the selection.</t>
  </si>
  <si>
    <t>Additional losses</t>
  </si>
  <si>
    <t>Event</t>
  </si>
  <si>
    <t xml:space="preserve">Current </t>
  </si>
  <si>
    <t xml:space="preserve">Portfolio A </t>
  </si>
  <si>
    <t xml:space="preserve">Portfolio B </t>
  </si>
  <si>
    <t xml:space="preserve">Portfolio C </t>
  </si>
  <si>
    <t>portfolio</t>
  </si>
  <si>
    <t>losses</t>
  </si>
  <si>
    <t xml:space="preserve">SHOW ALL WORK. </t>
  </si>
  <si>
    <t>2.5 points</t>
  </si>
  <si>
    <t>4: Evaluate catastrophe models.</t>
  </si>
  <si>
    <t>Grossi, P., and Kunreuther, H., Editors, Catastrophe Modeling: A New Approach to Managing Risk, 2005, Springer (a-c: Errata 1,d: ch 6)</t>
  </si>
  <si>
    <t>Large spreadsheet question.</t>
  </si>
  <si>
    <t xml:space="preserve">Correct / Full-credit Answer/ Shown Work: </t>
  </si>
  <si>
    <t>AAL=</t>
  </si>
  <si>
    <t>ranked</t>
  </si>
  <si>
    <t>sorted loss</t>
  </si>
  <si>
    <t>annual probability of occurrence</t>
  </si>
  <si>
    <t>occurrence exceedance probability</t>
  </si>
  <si>
    <t>1-annual prob of occurrence</t>
  </si>
  <si>
    <t>Prob (no events)</t>
  </si>
  <si>
    <t>CEP=</t>
  </si>
  <si>
    <t>Event #s</t>
  </si>
  <si>
    <t>aggregate loss</t>
  </si>
  <si>
    <t>probability</t>
  </si>
  <si>
    <t>AEP</t>
  </si>
  <si>
    <t>4,5,6</t>
  </si>
  <si>
    <t>4,5</t>
  </si>
  <si>
    <t>4,6</t>
  </si>
  <si>
    <t>5,6</t>
  </si>
  <si>
    <t>AEP(12,000,000)=</t>
  </si>
  <si>
    <t>d</t>
  </si>
  <si>
    <t>Select portfolio B as it produces the lowest mean and variation</t>
  </si>
  <si>
    <t>B is more negatively correlated to the current portfolio compared to portfolios A and C and thus offers the most diversification benefits. Hence, it will produce the lowest overall loss variation.</t>
  </si>
  <si>
    <t>Portfolio B also has the lowest loss amount at every probability level, resulting in the smallest mean loss when losses are aggregated.</t>
  </si>
  <si>
    <t>0.25 for sorted loss and probability columns</t>
  </si>
  <si>
    <t>0.25 for applying the correct formula to calculate OEP for 9,000,000</t>
  </si>
  <si>
    <t>0.25 for applying the correct formula to calculate CEP for 9,000,000</t>
  </si>
  <si>
    <t>0.25 for the aggregate loss column</t>
  </si>
  <si>
    <t>0.25 for the probability column</t>
  </si>
  <si>
    <t>0.25 for deriving the correct AEP for aggregate loss of 12,000,000.</t>
  </si>
  <si>
    <t>0.25 for selecting portfolio B</t>
  </si>
  <si>
    <t>0.50 for providing reasonable explanations on mean and variation</t>
  </si>
  <si>
    <t>Calculations are not necessary for full credit.</t>
  </si>
  <si>
    <t>Pitfalls/Mistakes:</t>
  </si>
  <si>
    <t>part b: calculating the OEP but not CEP (or mixing them up)</t>
  </si>
  <si>
    <t>part d: candidates made observations about the variance rather than calculating it</t>
  </si>
  <si>
    <t>The following information is given about an insurer:</t>
  </si>
  <si>
    <t>Their target cost of capital is</t>
  </si>
  <si>
    <t>They are interested in calibrating to the level of loss corresponding to the</t>
  </si>
  <si>
    <t>percentile.</t>
  </si>
  <si>
    <t>They are exploring possible distortion functions for use in pricing.</t>
  </si>
  <si>
    <t>Identify the loss ratio corresponding to the insurer's target cost of capital.</t>
  </si>
  <si>
    <t>b. 1.5 points</t>
  </si>
  <si>
    <t>After evaluating the results of Part a, the insurer has changed their goal metrics. Instead of targeting a</t>
  </si>
  <si>
    <t>specific cost of capital, they have decided to calibrate the following distortion functions to achieve a loss</t>
  </si>
  <si>
    <t xml:space="preserve">ratio of </t>
  </si>
  <si>
    <t>They are considering the following distortion functions to price their book of business:</t>
  </si>
  <si>
    <r>
      <t xml:space="preserve">Proportional Hazard Transform with parameter </t>
    </r>
    <r>
      <rPr>
        <i/>
        <sz val="11"/>
        <color rgb="FF000000"/>
        <rFont val="Calibri"/>
        <family val="2"/>
      </rPr>
      <t>α</t>
    </r>
  </si>
  <si>
    <r>
      <t xml:space="preserve">TVaR with parameter </t>
    </r>
    <r>
      <rPr>
        <i/>
        <sz val="11"/>
        <color rgb="FF000000"/>
        <rFont val="Calibri"/>
        <family val="2"/>
      </rPr>
      <t>p</t>
    </r>
  </si>
  <si>
    <r>
      <t xml:space="preserve">Dual Moment Transform with parameter </t>
    </r>
    <r>
      <rPr>
        <i/>
        <sz val="11"/>
        <color rgb="FF000000"/>
        <rFont val="Calibri"/>
        <family val="2"/>
      </rPr>
      <t>m</t>
    </r>
  </si>
  <si>
    <t>i. Identify the distortion function which will be most expensive for tail risk and calibrate the parameter.</t>
  </si>
  <si>
    <t>ii. Identify the distortion function which will be most expensive for body risk and calibrate the parameter.</t>
  </si>
  <si>
    <t>2 points</t>
  </si>
  <si>
    <t>B: Risk and Return</t>
  </si>
  <si>
    <t>4: Determine risk loads for insurance pricing.</t>
  </si>
  <si>
    <t>Mildenhall, S. and Major, J., Pricing Insurance Risk: Theory and Practice. John Wiley &amp; Sons, 2022 (ch 11.3)</t>
  </si>
  <si>
    <t>Took candidates a long time to answer and performed below average.</t>
  </si>
  <si>
    <r>
      <t xml:space="preserve">We are given </t>
    </r>
    <r>
      <rPr>
        <i/>
        <sz val="11"/>
        <color rgb="FF000000"/>
        <rFont val="Calibri"/>
        <family val="2"/>
      </rPr>
      <t>i</t>
    </r>
    <r>
      <rPr>
        <sz val="11"/>
        <color rgb="FF000000"/>
        <rFont val="Calibri"/>
        <family val="2"/>
      </rPr>
      <t xml:space="preserve"> = 0.100 and </t>
    </r>
    <r>
      <rPr>
        <i/>
        <sz val="11"/>
        <color rgb="FF000000"/>
        <rFont val="Calibri"/>
        <family val="2"/>
      </rPr>
      <t xml:space="preserve">1-s </t>
    </r>
    <r>
      <rPr>
        <sz val="11"/>
        <color rgb="FF000000"/>
        <rFont val="Calibri"/>
        <family val="2"/>
      </rPr>
      <t>= 0.900</t>
    </r>
  </si>
  <si>
    <t>s =</t>
  </si>
  <si>
    <r>
      <t xml:space="preserve">Cost of capital </t>
    </r>
    <r>
      <rPr>
        <i/>
        <sz val="11"/>
        <color rgb="FF000000"/>
        <rFont val="Calibri"/>
        <family val="2"/>
      </rPr>
      <t>i</t>
    </r>
    <r>
      <rPr>
        <sz val="11"/>
        <color rgb="FF000000"/>
        <rFont val="Calibri"/>
        <family val="2"/>
      </rPr>
      <t xml:space="preserve"> = margin/capital = [g(s) - s]/[1 - g(s)]</t>
    </r>
  </si>
  <si>
    <t>So i(1-g(s)) = g(s) - s --&gt; i - i*g(s) = g(s) - s --&gt; s+i = g(s)(1+i) --&gt; g(s) = (s+i)/(1+i)</t>
  </si>
  <si>
    <t>g(s) =</t>
  </si>
  <si>
    <t>(s + i)/(1+i)</t>
  </si>
  <si>
    <t>LR =</t>
  </si>
  <si>
    <t>s/g(s)</t>
  </si>
  <si>
    <t>Of these options, the candidate should recognize that the Proportional Hazard Transform is most expensive for tail risk while the TVaR Transform is most expensive for body risk.</t>
  </si>
  <si>
    <t>i. For the Proportional Hazard (PH) Transform,</t>
  </si>
  <si>
    <t>g(s) = s^a</t>
  </si>
  <si>
    <t>=</t>
  </si>
  <si>
    <t>/</t>
  </si>
  <si>
    <t>^a</t>
  </si>
  <si>
    <t>*a</t>
  </si>
  <si>
    <t>ii. For TVaR,</t>
  </si>
  <si>
    <t>g(s) = min(1, s/(1-p))</t>
  </si>
  <si>
    <t>s/min(1,s/(1-p))</t>
  </si>
  <si>
    <t>min(1,s/(1-p)</t>
  </si>
  <si>
    <t>Since min(1, s/(1-p)) &lt; 1, g(s) = s/(1-p)</t>
  </si>
  <si>
    <t>s/(1-p) =</t>
  </si>
  <si>
    <t>1-p</t>
  </si>
  <si>
    <t>p</t>
  </si>
  <si>
    <t>The Dual Moment Transform is not the most expensive for tail risk or body risk.</t>
  </si>
  <si>
    <t>Award points for correct g(s) or LR formula and final answer if accurate, but no points for identifying the distribution.</t>
  </si>
  <si>
    <t>g(s) = 1 - (1-s)^m = s/LR</t>
  </si>
  <si>
    <t>-</t>
  </si>
  <si>
    <t>^m</t>
  </si>
  <si>
    <t>*m</t>
  </si>
  <si>
    <t>m</t>
  </si>
  <si>
    <t>0.25 points for correct g(s) formula (or LR formula, if calculated directly)</t>
  </si>
  <si>
    <t>0.25 points for correct final answer</t>
  </si>
  <si>
    <t>i.</t>
  </si>
  <si>
    <t>0.25 points for identifying the correct distortion function</t>
  </si>
  <si>
    <t>ii.</t>
  </si>
  <si>
    <t>part b: candidates didn't know how to calculate the dual moment transform</t>
  </si>
  <si>
    <t>Given the following information:</t>
  </si>
  <si>
    <t>Expected</t>
  </si>
  <si>
    <t>Standard</t>
  </si>
  <si>
    <t>Territory</t>
  </si>
  <si>
    <t>Deviation</t>
  </si>
  <si>
    <t>Correlation</t>
  </si>
  <si>
    <t>Coastal</t>
  </si>
  <si>
    <t>Inland</t>
  </si>
  <si>
    <t>Mountain</t>
  </si>
  <si>
    <t>Cohort</t>
  </si>
  <si>
    <t>Premium</t>
  </si>
  <si>
    <t>Coastal &amp; Inland</t>
  </si>
  <si>
    <t>Coastal &amp; Mountain</t>
  </si>
  <si>
    <t>Inland &amp; Mountain</t>
  </si>
  <si>
    <t>The insurance company prices using the standard deviation premium calculation principle with π=</t>
  </si>
  <si>
    <t>Losses are assumed to be normally distributed.</t>
  </si>
  <si>
    <t>a. 2.25 points</t>
  </si>
  <si>
    <t>Find the Shapley allocation of premium to each territory.</t>
  </si>
  <si>
    <t>Briefly describe two desirable properties of the Shapley allocation.</t>
  </si>
  <si>
    <t>c. 0.25 point</t>
  </si>
  <si>
    <t>Briefly describe one drawback of the Shapley allocation.</t>
  </si>
  <si>
    <t>Enter your response for part a Coastal territory in cell J18.</t>
  </si>
  <si>
    <t>Enter your response for part a Inland territory in cell J19.</t>
  </si>
  <si>
    <t>Enter your response for part a Mountain territory in cell J20.</t>
  </si>
  <si>
    <t>Spreadsheet and multipart Constructed Response</t>
  </si>
  <si>
    <t>C: Financial Risk Management (FRM)</t>
  </si>
  <si>
    <t>Task: (all subparts)</t>
  </si>
  <si>
    <t>2: Allocate the cost of risk capital to business units or lines of business.</t>
  </si>
  <si>
    <t>Mildenhall, S. and Major, J., Pricing Insurance Risk: Theory and Practice. John Wiley &amp; Sons, 2022 (pg 317-318)</t>
  </si>
  <si>
    <t>Large point question</t>
  </si>
  <si>
    <t>Correct / Full-credit Answer/Shown Work/Full Credit Narrative:</t>
  </si>
  <si>
    <t>a.</t>
  </si>
  <si>
    <t>0.25 pt for SD</t>
  </si>
  <si>
    <t>only need to calculate 3 unit SD</t>
  </si>
  <si>
    <t>Coastal territory</t>
  </si>
  <si>
    <t>0.25 pt</t>
  </si>
  <si>
    <t>0.25 pt for Premium</t>
  </si>
  <si>
    <t>only give credit for premium if all premium is calculated correctly</t>
  </si>
  <si>
    <t>Inland territory</t>
  </si>
  <si>
    <t>Mountain territory</t>
  </si>
  <si>
    <t>0.25 pt for weight</t>
  </si>
  <si>
    <t>only give 0.25 pts for calculating weight once. Weights are used for all 3 units</t>
  </si>
  <si>
    <t>Calculate the standard deviation PCP for all combinations. (C=Coastal, I=Inland, M=Mountain)</t>
  </si>
  <si>
    <t>0.25 pt for premiums</t>
  </si>
  <si>
    <t>0.25 pt for premium allocation</t>
  </si>
  <si>
    <t>E[L]</t>
  </si>
  <si>
    <t>SD</t>
  </si>
  <si>
    <t>C</t>
  </si>
  <si>
    <t>I</t>
  </si>
  <si>
    <t>M</t>
  </si>
  <si>
    <t>CI</t>
  </si>
  <si>
    <t>CM</t>
  </si>
  <si>
    <t>IM</t>
  </si>
  <si>
    <t>CIM</t>
  </si>
  <si>
    <t>Allocate:</t>
  </si>
  <si>
    <t>added to</t>
  </si>
  <si>
    <t>|s|</t>
  </si>
  <si>
    <t>weight</t>
  </si>
  <si>
    <t>Nothing</t>
  </si>
  <si>
    <t>Inland+Mountain</t>
  </si>
  <si>
    <t>Coastal+Mountain</t>
  </si>
  <si>
    <t>Inland+Coastal</t>
  </si>
  <si>
    <t>Check</t>
  </si>
  <si>
    <t>b.</t>
  </si>
  <si>
    <t>It is additive</t>
  </si>
  <si>
    <t>0.25 pt for each</t>
  </si>
  <si>
    <t>It is symmetric</t>
  </si>
  <si>
    <t>It is homogenous if the cost function is homogenous</t>
  </si>
  <si>
    <t>if the cost function is sub additive, then no undercut is satisfied</t>
  </si>
  <si>
    <t>no capital is allocated to a risk with no variance</t>
  </si>
  <si>
    <t>c.</t>
  </si>
  <si>
    <t>Requires many calculations. 2^n marginal impacts</t>
  </si>
  <si>
    <t>0.25 pt for one</t>
  </si>
  <si>
    <t>If a unit is subdivided further into two new units (with their aggregate being identical to the original) then the allocations assigned to the other untis typically change.  It is not decomposable.</t>
  </si>
  <si>
    <t>Candidates did very well or very poorly on this question.</t>
  </si>
  <si>
    <t>They scored either very low or very high on this question.</t>
  </si>
  <si>
    <t>Of the candidates that scored high but not full credit, the most common mistake was a calculation error when calculating standard deviation.</t>
  </si>
  <si>
    <t>1.25 points</t>
  </si>
  <si>
    <t>Match the descriptions in the left column with the terms (A) through E in the right column. (Each option in the left column may be used once.)</t>
  </si>
  <si>
    <t>Enhanced Matching</t>
  </si>
  <si>
    <t>7: Describe and apply securitization and its applications to the management of catastrophe risk (e.g., CAT bonds, insurance-linked securities).</t>
  </si>
  <si>
    <t>Cummins, J. D., “CAT Bond and Other Risk-Linked Securities: State of the Market and Recent Developments,” Risk Management and Insurance Review, American Risk and Insurance Association, Inc., 2008, Vol. 11, No. 1 (pg 27, 29-31)</t>
  </si>
  <si>
    <t>New item type</t>
  </si>
  <si>
    <t>Correct / Full-credit Answer:</t>
  </si>
  <si>
    <t>Shown Work:</t>
  </si>
  <si>
    <t>all correct or no credit</t>
  </si>
  <si>
    <t>Candidates confused sidecar and single purpose reinsurer.</t>
  </si>
  <si>
    <t xml:space="preserve">An insurance company is looking to implement an Enterprise Risk Management (ERM) program. </t>
  </si>
  <si>
    <t>The company plans to perform a one-time analysis of all risks impacting the company.</t>
  </si>
  <si>
    <t>Risks</t>
  </si>
  <si>
    <t>The Federal Reserve may decrease interest rates in the next year.</t>
  </si>
  <si>
    <t>A company employee files a workers compensation claim.</t>
  </si>
  <si>
    <t>The company writes the workers compensation line of business.</t>
  </si>
  <si>
    <t>The company plans to acquire another insurance company to expand into other markets.</t>
  </si>
  <si>
    <t>The reserve models used by the actuaries could not accurately forecast reserves.</t>
  </si>
  <si>
    <t>The reserve models used by the actuaries could have accurately forecasted reserves but were improperly used.</t>
  </si>
  <si>
    <t>a. 1.5 points</t>
  </si>
  <si>
    <t>Identify each of the risks as 1 of the following: insurance risk, financial risk, operational risk, or strategic risk.</t>
  </si>
  <si>
    <t>b. 1 point</t>
  </si>
  <si>
    <t>Describe 2 operational risks associated with underwriting cycle management.</t>
  </si>
  <si>
    <t>c. 1 point</t>
  </si>
  <si>
    <t>Describe 2 operation process improvements the company can focus on in underwriting cycle management.</t>
  </si>
  <si>
    <t>3.5 points</t>
  </si>
  <si>
    <t>D: Enterprise Risk Management (ERM)</t>
  </si>
  <si>
    <t>2: Determine operational risks.</t>
  </si>
  <si>
    <t>Brehm, P.; Gluck, S.; Kreps, R.; Major, J.; Mango, D.; Shaw, R.; Venter, G.; White, S.; and Witcraft, S., Guy Carpenter, “Enterprise Risk Analysis for Property &amp; Liability Insurance Companies,” (a: pg 4-6, 144-145, 148-150, 1165-1166, b: 150-151, c: 151-155)</t>
  </si>
  <si>
    <t>Risk Factor</t>
  </si>
  <si>
    <t>The Federal Reserve may decrease interest rates in the next one year</t>
  </si>
  <si>
    <t>Financial Risk</t>
  </si>
  <si>
    <t>The company's employee files a workers compensation claim</t>
  </si>
  <si>
    <t>Operational Risk</t>
  </si>
  <si>
    <t>The company writes the workers compensation line of business</t>
  </si>
  <si>
    <t>Insurance Risk</t>
  </si>
  <si>
    <t>The company plans to acquire another insurance company to expand into other markets</t>
  </si>
  <si>
    <t>Strategic risk</t>
  </si>
  <si>
    <t>The reserve models used by the actuaries could not accurately forecast reserves</t>
  </si>
  <si>
    <t xml:space="preserve">The reserve models used by the actuaries could have accurately forecasted reserves but were improperly used </t>
  </si>
  <si>
    <t>1. The company does not have a proactive cycle management strategy or does not believe it needs one.</t>
  </si>
  <si>
    <t>2. The company does not know where in the cycle the market stands at any given time</t>
  </si>
  <si>
    <t>3. Underwriters are not making decisions that are consistent with cycle management strategy and where in the cycle the market stands.</t>
  </si>
  <si>
    <t>4. The company does performance assessment under naïve cycle management by following "maintain market share" strategy</t>
  </si>
  <si>
    <t>1. The company must reengineer its underwriting decision processes, like rewiring the house with the lights still on.</t>
  </si>
  <si>
    <t>2. Focusing on intellectual property management.</t>
  </si>
  <si>
    <t>The experts in underwriting, claims, finance and actuarial are time-consuming to build and easy to lose or destroy. The company must retain their top talent throughout periods of capacity retraction and continue to grow and develop their sills.</t>
  </si>
  <si>
    <t xml:space="preserve">They must maintain a presence in their core market channels. </t>
  </si>
  <si>
    <t>They must maintain a consistent pattern of investment in systems, models and databases.</t>
  </si>
  <si>
    <t>3. Focusing on underwriter incentives</t>
  </si>
  <si>
    <t>Cycle management requires adaptability and responsiveness.</t>
  </si>
  <si>
    <t>The incentive plans need to be based on how well underwriters supported the portfolio goals throughout the year.</t>
  </si>
  <si>
    <t>Those goals will be fluid and changing based on inevitable market condition changes</t>
  </si>
  <si>
    <t>4. Focusing on market overreaction</t>
  </si>
  <si>
    <t>In anticipation of overreaction to the extreme, the company should prudently manage capacity to avoid aggregate overreaction in both directions.</t>
  </si>
  <si>
    <t>The firms with the most available capacity during the price improvement phase will reap with windfall profits that can offset many years of small underwriting losses.</t>
  </si>
  <si>
    <t>5. Owner education</t>
  </si>
  <si>
    <t>Educate owners/senior leadership to understand that under cycle management, certain financial figures may appear out of step with their peer companies.</t>
  </si>
  <si>
    <t>It is imperative that owners understand what they are seeing and do not make ill-advised calls for top-line growth or increased market share at the worst possible point in the cycle.</t>
  </si>
  <si>
    <t>To educate owner to less emphasis on the overhead expense ratio.  An underwriter's activity this year will produce benefits to the firm in subsequent years. Fewer fluctuations in number of employees during the cycle. Preserve underwriters job during soft markets</t>
  </si>
  <si>
    <t>0.25 for correctly identifying each risk</t>
  </si>
  <si>
    <t>0.5 for describing each risk (must describe two to get full 0.5 credit)</t>
  </si>
  <si>
    <t>Part c: candidates answered too generically instead of from the paper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</si>
</sst>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quot;$&quot;* #,##0_);_(&quot;$&quot;* \(#,##0\);_(&quot;$&quot;* &quot;-&quot;??_);_(@_)"/>
    <numFmt numFmtId="165" formatCode="0.0000"/>
    <numFmt numFmtId="166" formatCode="_(* #,##0_);_(* \(#,##0\);_(* &quot;-&quot;??_);_(@_)"/>
    <numFmt numFmtId="167" formatCode="_-* #,##0.00_-;\-* #,##0.00_-;_-* &quot;-&quot;??_-;_-@_-"/>
    <numFmt numFmtId="168" formatCode="_-* #,##0_-;\-* #,##0_-;_-* &quot;-&quot;??_-;_-@_-"/>
    <numFmt numFmtId="169" formatCode="0.00000"/>
    <numFmt numFmtId="170" formatCode="_-* #,##0.00000_-;\-* #,##0.00000_-;_-* &quot;-&quot;??_-;_-@_-"/>
    <numFmt numFmtId="171" formatCode="_(* #,##0.00000_);_(* \(#,##0.00000\);_(* &quot;-&quot;?????_);_(@_)"/>
    <numFmt numFmtId="172" formatCode="0.0000%"/>
    <numFmt numFmtId="173" formatCode="0.000"/>
  </numFmts>
  <fonts count="15">
    <font>
      <sz val="11"/>
      <color theme="1"/>
      <name val="Aptos Narrow"/>
      <family val="2"/>
      <scheme val="minor"/>
    </font>
    <font>
      <b/>
      <sz val="11"/>
      <name val="Calibri"/>
      <family val="2"/>
    </font>
    <font>
      <b/>
      <sz val="11"/>
      <color theme="1"/>
      <name val="Calibri"/>
      <family val="2"/>
    </font>
    <font>
      <sz val="11"/>
      <color theme="1"/>
      <name val="Calibri"/>
      <family val="2"/>
    </font>
    <font>
      <sz val="11"/>
      <color rgb="FF000000"/>
      <name val="Calibri"/>
      <family val="2"/>
      <charset val="1"/>
    </font>
    <font>
      <sz val="11"/>
      <color theme="1"/>
      <name val="Calibri"/>
      <family val="2"/>
      <charset val="1"/>
    </font>
    <font>
      <sz val="11"/>
      <name val="Calibri"/>
      <family val="2"/>
    </font>
    <font>
      <sz val="11"/>
      <color rgb="FF000000"/>
      <name val="Calibri"/>
      <family val="2"/>
    </font>
    <font>
      <sz val="11"/>
      <color rgb="FFFF0000"/>
      <name val="Calibri"/>
      <family val="2"/>
    </font>
    <font>
      <b/>
      <sz val="11"/>
      <color rgb="FF000000"/>
      <name val="Calibri"/>
      <family val="2"/>
    </font>
    <font>
      <u/>
      <sz val="11"/>
      <name val="Calibri"/>
      <family val="2"/>
    </font>
    <font>
      <sz val="11"/>
      <color theme="1"/>
      <name val="Aptos Narrow"/>
      <family val="2"/>
      <scheme val="minor"/>
    </font>
    <font>
      <i/>
      <sz val="11"/>
      <color rgb="FF000000"/>
      <name val="Calibri"/>
      <family val="2"/>
    </font>
    <font>
      <b/>
      <sz val="11"/>
      <color rgb="FFFF0000"/>
      <name val="Calibri"/>
      <family val="2"/>
    </font>
    <font>
      <u/>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s>
  <cellStyleXfs count="6">
    <xf numFmtId="0" fontId="0" fillId="0" borderId="0"/>
    <xf numFmtId="0" fontId="4" fillId="0" borderId="0"/>
    <xf numFmtId="0" fontId="5" fillId="0" borderId="0"/>
    <xf numFmtId="43" fontId="11" fillId="0" borderId="0" applyFont="0" applyFill="0" applyBorder="0" applyAlignment="0" applyProtection="0"/>
    <xf numFmtId="9" fontId="11" fillId="0" borderId="0" applyFont="0" applyFill="0" applyBorder="0" applyAlignment="0" applyProtection="0"/>
    <xf numFmtId="167" fontId="11" fillId="0" borderId="0" applyFont="0" applyFill="0" applyBorder="0" applyAlignment="0" applyProtection="0"/>
  </cellStyleXfs>
  <cellXfs count="168">
    <xf numFmtId="0" fontId="0" fillId="0" borderId="0" xfId="0"/>
    <xf numFmtId="0" fontId="1" fillId="0" borderId="0" xfId="0" applyFont="1"/>
    <xf numFmtId="0" fontId="1" fillId="0" borderId="0" xfId="0" applyFont="1" applyAlignment="1">
      <alignment vertical="top"/>
    </xf>
    <xf numFmtId="0" fontId="3" fillId="0" borderId="0" xfId="0" applyFont="1"/>
    <xf numFmtId="0" fontId="6" fillId="2" borderId="1" xfId="1" quotePrefix="1" applyFont="1" applyFill="1" applyBorder="1"/>
    <xf numFmtId="0" fontId="8" fillId="0" borderId="0" xfId="0" applyFont="1"/>
    <xf numFmtId="0" fontId="7" fillId="2" borderId="0" xfId="0" applyFont="1" applyFill="1"/>
    <xf numFmtId="0" fontId="6" fillId="2" borderId="4" xfId="1" quotePrefix="1" applyFont="1" applyFill="1" applyBorder="1" applyAlignment="1">
      <alignment horizontal="left"/>
    </xf>
    <xf numFmtId="0" fontId="9" fillId="2" borderId="0" xfId="1" applyFont="1" applyFill="1"/>
    <xf numFmtId="0" fontId="6" fillId="2" borderId="4" xfId="1" quotePrefix="1" applyFont="1" applyFill="1" applyBorder="1"/>
    <xf numFmtId="0" fontId="6" fillId="2" borderId="5" xfId="1" applyFont="1" applyFill="1" applyBorder="1"/>
    <xf numFmtId="0" fontId="10" fillId="2" borderId="0" xfId="1" applyFont="1" applyFill="1"/>
    <xf numFmtId="0" fontId="6" fillId="2" borderId="0" xfId="1" quotePrefix="1" applyFont="1" applyFill="1" applyAlignment="1">
      <alignment horizontal="left"/>
    </xf>
    <xf numFmtId="0" fontId="6" fillId="2" borderId="2" xfId="1" applyFont="1" applyFill="1" applyBorder="1"/>
    <xf numFmtId="0" fontId="6" fillId="2" borderId="3" xfId="1" applyFont="1" applyFill="1" applyBorder="1"/>
    <xf numFmtId="0" fontId="3" fillId="2" borderId="4" xfId="0" applyFont="1" applyFill="1" applyBorder="1"/>
    <xf numFmtId="0" fontId="7" fillId="2" borderId="0" xfId="1" applyFont="1" applyFill="1"/>
    <xf numFmtId="0" fontId="6" fillId="0" borderId="0" xfId="0" applyFont="1"/>
    <xf numFmtId="0" fontId="7" fillId="3" borderId="13" xfId="1" applyFont="1" applyFill="1" applyBorder="1"/>
    <xf numFmtId="0" fontId="7" fillId="3" borderId="14" xfId="1" applyFont="1" applyFill="1" applyBorder="1"/>
    <xf numFmtId="0" fontId="6" fillId="2" borderId="4" xfId="1" applyFont="1" applyFill="1" applyBorder="1"/>
    <xf numFmtId="0" fontId="7" fillId="2" borderId="5" xfId="1" applyFont="1" applyFill="1" applyBorder="1"/>
    <xf numFmtId="0" fontId="7" fillId="2" borderId="2" xfId="1" applyFont="1" applyFill="1" applyBorder="1"/>
    <xf numFmtId="0" fontId="1" fillId="2" borderId="6" xfId="1" applyFont="1" applyFill="1" applyBorder="1"/>
    <xf numFmtId="0" fontId="7" fillId="2" borderId="7" xfId="1" applyFont="1" applyFill="1" applyBorder="1"/>
    <xf numFmtId="0" fontId="1" fillId="2" borderId="9" xfId="1" applyFont="1" applyFill="1" applyBorder="1"/>
    <xf numFmtId="0" fontId="7" fillId="2" borderId="10" xfId="1" applyFont="1" applyFill="1" applyBorder="1"/>
    <xf numFmtId="0" fontId="2" fillId="2" borderId="6" xfId="0" applyFont="1" applyFill="1" applyBorder="1" applyAlignment="1">
      <alignment horizontal="left"/>
    </xf>
    <xf numFmtId="0" fontId="7" fillId="2" borderId="7" xfId="1" applyFont="1" applyFill="1" applyBorder="1" applyAlignment="1">
      <alignment vertical="center"/>
    </xf>
    <xf numFmtId="0" fontId="7" fillId="2" borderId="8" xfId="1" applyFont="1" applyFill="1" applyBorder="1"/>
    <xf numFmtId="0" fontId="1" fillId="2" borderId="4" xfId="1" applyFont="1" applyFill="1" applyBorder="1"/>
    <xf numFmtId="0" fontId="6" fillId="2" borderId="0" xfId="1" applyFont="1" applyFill="1"/>
    <xf numFmtId="0" fontId="7" fillId="3" borderId="15" xfId="1" applyFont="1" applyFill="1" applyBorder="1"/>
    <xf numFmtId="0" fontId="6" fillId="2" borderId="1" xfId="1" applyFont="1" applyFill="1" applyBorder="1"/>
    <xf numFmtId="0" fontId="7" fillId="2" borderId="3" xfId="1" applyFont="1" applyFill="1" applyBorder="1"/>
    <xf numFmtId="0" fontId="6" fillId="2" borderId="9" xfId="1" applyFont="1" applyFill="1" applyBorder="1"/>
    <xf numFmtId="0" fontId="6" fillId="2" borderId="10" xfId="1" applyFont="1" applyFill="1" applyBorder="1"/>
    <xf numFmtId="0" fontId="7" fillId="2" borderId="11" xfId="1" applyFont="1" applyFill="1" applyBorder="1"/>
    <xf numFmtId="0" fontId="6" fillId="2" borderId="12" xfId="1" applyFont="1" applyFill="1" applyBorder="1"/>
    <xf numFmtId="0" fontId="3" fillId="2" borderId="0" xfId="0" applyFont="1" applyFill="1"/>
    <xf numFmtId="3" fontId="7" fillId="2" borderId="12" xfId="3" applyNumberFormat="1" applyFont="1" applyFill="1" applyBorder="1" applyAlignment="1">
      <alignment horizontal="center"/>
    </xf>
    <xf numFmtId="0" fontId="3" fillId="0" borderId="4" xfId="0" applyFont="1" applyBorder="1"/>
    <xf numFmtId="0" fontId="6" fillId="0" borderId="0" xfId="1" applyFont="1"/>
    <xf numFmtId="0" fontId="7" fillId="0" borderId="0" xfId="1" applyFont="1"/>
    <xf numFmtId="0" fontId="7" fillId="0" borderId="0" xfId="0" applyFont="1"/>
    <xf numFmtId="0" fontId="9" fillId="0" borderId="0" xfId="1" applyFont="1"/>
    <xf numFmtId="0" fontId="3" fillId="2" borderId="2" xfId="0" applyFont="1" applyFill="1" applyBorder="1"/>
    <xf numFmtId="0" fontId="3" fillId="2" borderId="3" xfId="0" applyFont="1" applyFill="1" applyBorder="1"/>
    <xf numFmtId="0" fontId="3" fillId="2" borderId="5" xfId="0" applyFont="1" applyFill="1" applyBorder="1"/>
    <xf numFmtId="0" fontId="3" fillId="2" borderId="17" xfId="0" applyFont="1" applyFill="1" applyBorder="1" applyAlignment="1">
      <alignment horizontal="center" wrapText="1"/>
    </xf>
    <xf numFmtId="0" fontId="3" fillId="2" borderId="19" xfId="0" applyFont="1" applyFill="1" applyBorder="1" applyAlignment="1">
      <alignment horizontal="center" wrapText="1"/>
    </xf>
    <xf numFmtId="0" fontId="3" fillId="2" borderId="21" xfId="0" applyFont="1" applyFill="1" applyBorder="1" applyAlignment="1">
      <alignment horizontal="center" wrapText="1"/>
    </xf>
    <xf numFmtId="0" fontId="3" fillId="2" borderId="12" xfId="0" applyFont="1" applyFill="1" applyBorder="1" applyAlignment="1">
      <alignment horizontal="center"/>
    </xf>
    <xf numFmtId="165" fontId="3" fillId="2" borderId="21" xfId="0" applyNumberFormat="1" applyFont="1" applyFill="1" applyBorder="1" applyAlignment="1">
      <alignment horizontal="center"/>
    </xf>
    <xf numFmtId="166" fontId="3" fillId="2" borderId="12" xfId="3" applyNumberFormat="1" applyFont="1" applyFill="1" applyBorder="1" applyAlignment="1">
      <alignment horizontal="center"/>
    </xf>
    <xf numFmtId="165" fontId="3" fillId="2" borderId="12" xfId="0" applyNumberFormat="1" applyFont="1" applyFill="1" applyBorder="1" applyAlignment="1">
      <alignment horizontal="center"/>
    </xf>
    <xf numFmtId="0" fontId="3" fillId="2" borderId="21" xfId="0" applyFont="1" applyFill="1" applyBorder="1" applyAlignment="1">
      <alignment horizontal="center"/>
    </xf>
    <xf numFmtId="166" fontId="3" fillId="2" borderId="21" xfId="3" applyNumberFormat="1" applyFont="1" applyFill="1" applyBorder="1" applyAlignment="1">
      <alignment horizontal="center"/>
    </xf>
    <xf numFmtId="3" fontId="3" fillId="2" borderId="0" xfId="0" applyNumberFormat="1" applyFont="1" applyFill="1" applyAlignment="1">
      <alignment horizontal="left"/>
    </xf>
    <xf numFmtId="0" fontId="3" fillId="2" borderId="4" xfId="0" applyFont="1" applyFill="1" applyBorder="1" applyAlignment="1">
      <alignment vertical="top"/>
    </xf>
    <xf numFmtId="0" fontId="3" fillId="2" borderId="0" xfId="0" applyFont="1" applyFill="1" applyAlignment="1">
      <alignment horizontal="center"/>
    </xf>
    <xf numFmtId="0" fontId="3" fillId="2" borderId="9" xfId="0" applyFont="1" applyFill="1" applyBorder="1"/>
    <xf numFmtId="0" fontId="3" fillId="2" borderId="10" xfId="0" applyFont="1" applyFill="1" applyBorder="1"/>
    <xf numFmtId="0" fontId="3" fillId="2" borderId="11"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3" fillId="2" borderId="1" xfId="0" applyFont="1" applyFill="1" applyBorder="1"/>
    <xf numFmtId="0" fontId="7" fillId="2" borderId="1" xfId="1" applyFont="1" applyFill="1" applyBorder="1"/>
    <xf numFmtId="173" fontId="7" fillId="2" borderId="2" xfId="1" applyNumberFormat="1" applyFont="1" applyFill="1" applyBorder="1"/>
    <xf numFmtId="0" fontId="7" fillId="2" borderId="2" xfId="0" applyFont="1" applyFill="1" applyBorder="1"/>
    <xf numFmtId="0" fontId="7" fillId="2" borderId="4" xfId="1" applyFont="1" applyFill="1" applyBorder="1"/>
    <xf numFmtId="173" fontId="7" fillId="2" borderId="0" xfId="1" applyNumberFormat="1" applyFont="1" applyFill="1"/>
    <xf numFmtId="173" fontId="7" fillId="2" borderId="12" xfId="0" applyNumberFormat="1" applyFont="1" applyFill="1" applyBorder="1" applyAlignment="1">
      <alignment horizontal="center"/>
    </xf>
    <xf numFmtId="0" fontId="7" fillId="2" borderId="4" xfId="1" applyFont="1" applyFill="1" applyBorder="1" applyAlignment="1">
      <alignment vertical="top"/>
    </xf>
    <xf numFmtId="173" fontId="7" fillId="2" borderId="22" xfId="0" applyNumberFormat="1" applyFont="1" applyFill="1" applyBorder="1" applyAlignment="1">
      <alignment horizontal="center"/>
    </xf>
    <xf numFmtId="0" fontId="3" fillId="0" borderId="5" xfId="0" applyFont="1" applyBorder="1"/>
    <xf numFmtId="0" fontId="7" fillId="2" borderId="9" xfId="1" applyFont="1" applyFill="1" applyBorder="1"/>
    <xf numFmtId="0" fontId="7" fillId="2" borderId="10" xfId="0" applyFont="1" applyFill="1" applyBorder="1"/>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0" xfId="0" applyFont="1" applyFill="1" applyBorder="1" applyAlignment="1">
      <alignment horizontal="center"/>
    </xf>
    <xf numFmtId="0" fontId="3" fillId="2" borderId="25" xfId="0" applyFont="1" applyFill="1" applyBorder="1" applyAlignment="1">
      <alignment horizontal="center"/>
    </xf>
    <xf numFmtId="0" fontId="3" fillId="2" borderId="26" xfId="0" applyFont="1" applyFill="1" applyBorder="1" applyAlignment="1">
      <alignment horizontal="center"/>
    </xf>
    <xf numFmtId="3" fontId="3" fillId="2" borderId="21" xfId="0" applyNumberFormat="1" applyFont="1" applyFill="1" applyBorder="1" applyAlignment="1">
      <alignment horizontal="center"/>
    </xf>
    <xf numFmtId="2" fontId="3" fillId="2" borderId="21" xfId="3" applyNumberFormat="1" applyFont="1" applyFill="1" applyBorder="1" applyAlignment="1">
      <alignment horizontal="center"/>
    </xf>
    <xf numFmtId="2" fontId="3" fillId="2" borderId="12" xfId="3" applyNumberFormat="1" applyFont="1" applyFill="1" applyBorder="1" applyAlignment="1">
      <alignment horizontal="center"/>
    </xf>
    <xf numFmtId="0" fontId="3" fillId="2" borderId="28" xfId="0" applyFont="1" applyFill="1" applyBorder="1" applyAlignment="1">
      <alignment horizontal="center"/>
    </xf>
    <xf numFmtId="4" fontId="3" fillId="2" borderId="21" xfId="0" applyNumberFormat="1" applyFont="1" applyFill="1" applyBorder="1" applyAlignment="1">
      <alignment horizontal="center"/>
    </xf>
    <xf numFmtId="0" fontId="3" fillId="2" borderId="22" xfId="0" applyFont="1" applyFill="1" applyBorder="1" applyAlignment="1">
      <alignment horizontal="center"/>
    </xf>
    <xf numFmtId="0" fontId="3" fillId="3" borderId="29" xfId="0" applyFont="1" applyFill="1" applyBorder="1"/>
    <xf numFmtId="0" fontId="3" fillId="2" borderId="7" xfId="0" applyFont="1" applyFill="1" applyBorder="1"/>
    <xf numFmtId="0" fontId="3" fillId="2" borderId="8" xfId="0" applyFont="1" applyFill="1" applyBorder="1"/>
    <xf numFmtId="0" fontId="2" fillId="2" borderId="9" xfId="0" applyFont="1" applyFill="1" applyBorder="1"/>
    <xf numFmtId="0" fontId="3" fillId="3" borderId="13" xfId="0" applyFont="1" applyFill="1" applyBorder="1"/>
    <xf numFmtId="0" fontId="2" fillId="2" borderId="10" xfId="0" applyFont="1" applyFill="1" applyBorder="1"/>
    <xf numFmtId="0" fontId="2" fillId="2" borderId="11" xfId="0" applyFont="1" applyFill="1" applyBorder="1"/>
    <xf numFmtId="0" fontId="7" fillId="0" borderId="0" xfId="0" applyFont="1" applyAlignment="1">
      <alignment vertical="center"/>
    </xf>
    <xf numFmtId="0" fontId="13" fillId="0" borderId="0" xfId="0" applyFont="1"/>
    <xf numFmtId="0" fontId="2" fillId="0" borderId="26" xfId="0" applyFont="1" applyBorder="1"/>
    <xf numFmtId="0" fontId="2" fillId="0" borderId="0" xfId="0" applyFont="1"/>
    <xf numFmtId="43" fontId="3" fillId="0" borderId="0" xfId="3" applyFont="1"/>
    <xf numFmtId="43" fontId="3" fillId="3" borderId="0" xfId="3" applyFont="1" applyFill="1"/>
    <xf numFmtId="0" fontId="3" fillId="3" borderId="0" xfId="0" applyFont="1" applyFill="1"/>
    <xf numFmtId="43" fontId="3" fillId="3" borderId="0" xfId="0" applyNumberFormat="1" applyFont="1" applyFill="1"/>
    <xf numFmtId="0" fontId="6" fillId="0" borderId="0" xfId="0" applyFont="1" applyAlignment="1">
      <alignment horizontal="center"/>
    </xf>
    <xf numFmtId="0" fontId="6" fillId="2" borderId="9" xfId="1" quotePrefix="1" applyFont="1" applyFill="1" applyBorder="1" applyAlignment="1">
      <alignment horizontal="left"/>
    </xf>
    <xf numFmtId="0" fontId="6" fillId="2" borderId="10" xfId="1" quotePrefix="1" applyFont="1" applyFill="1" applyBorder="1" applyAlignment="1">
      <alignment horizontal="left"/>
    </xf>
    <xf numFmtId="0" fontId="6" fillId="2" borderId="0" xfId="1" applyFont="1" applyFill="1" applyAlignment="1">
      <alignment horizontal="left"/>
    </xf>
    <xf numFmtId="0" fontId="3" fillId="0" borderId="0" xfId="0" applyFont="1" applyAlignment="1">
      <alignment horizontal="right"/>
    </xf>
    <xf numFmtId="164" fontId="3" fillId="0" borderId="0" xfId="0" applyNumberFormat="1" applyFont="1"/>
    <xf numFmtId="164" fontId="3" fillId="3" borderId="0" xfId="0" applyNumberFormat="1" applyFont="1" applyFill="1"/>
    <xf numFmtId="168" fontId="3" fillId="3" borderId="0" xfId="5" applyNumberFormat="1" applyFont="1" applyFill="1"/>
    <xf numFmtId="0" fontId="6" fillId="0" borderId="0" xfId="0" applyFont="1" applyAlignment="1">
      <alignment horizontal="left"/>
    </xf>
    <xf numFmtId="0" fontId="3" fillId="0" borderId="0" xfId="0" applyFont="1" applyAlignment="1">
      <alignment wrapText="1"/>
    </xf>
    <xf numFmtId="168" fontId="3" fillId="0" borderId="0" xfId="5" applyNumberFormat="1" applyFont="1"/>
    <xf numFmtId="165" fontId="3" fillId="0" borderId="0" xfId="0" applyNumberFormat="1" applyFont="1"/>
    <xf numFmtId="169" fontId="3" fillId="0" borderId="0" xfId="0" applyNumberFormat="1" applyFont="1"/>
    <xf numFmtId="165" fontId="3" fillId="3" borderId="0" xfId="0" applyNumberFormat="1" applyFont="1" applyFill="1"/>
    <xf numFmtId="165" fontId="3" fillId="0" borderId="0" xfId="5" applyNumberFormat="1" applyFont="1" applyFill="1"/>
    <xf numFmtId="170" fontId="3" fillId="0" borderId="0" xfId="5" applyNumberFormat="1" applyFont="1"/>
    <xf numFmtId="171" fontId="3" fillId="3" borderId="0" xfId="0" applyNumberFormat="1" applyFont="1" applyFill="1"/>
    <xf numFmtId="0" fontId="3" fillId="0" borderId="0" xfId="0" applyFont="1" applyAlignment="1">
      <alignment horizontal="center"/>
    </xf>
    <xf numFmtId="3" fontId="3" fillId="0" borderId="0" xfId="0" applyNumberFormat="1" applyFont="1"/>
    <xf numFmtId="172" fontId="3" fillId="0" borderId="0" xfId="4" applyNumberFormat="1" applyFont="1"/>
    <xf numFmtId="172" fontId="3" fillId="0" borderId="0" xfId="0" applyNumberFormat="1" applyFont="1"/>
    <xf numFmtId="172" fontId="3" fillId="0" borderId="0" xfId="4" applyNumberFormat="1" applyFont="1" applyAlignment="1">
      <alignment horizontal="right"/>
    </xf>
    <xf numFmtId="172" fontId="3" fillId="3" borderId="0" xfId="0" applyNumberFormat="1" applyFont="1" applyFill="1"/>
    <xf numFmtId="173" fontId="7" fillId="0" borderId="0" xfId="1" applyNumberFormat="1" applyFont="1" applyAlignment="1">
      <alignment horizontal="center"/>
    </xf>
    <xf numFmtId="0" fontId="7" fillId="0" borderId="0" xfId="1" applyFont="1" applyAlignment="1">
      <alignment horizontal="center"/>
    </xf>
    <xf numFmtId="173" fontId="3" fillId="3" borderId="0" xfId="0" applyNumberFormat="1" applyFont="1" applyFill="1" applyAlignment="1">
      <alignment horizontal="center"/>
    </xf>
    <xf numFmtId="173" fontId="7" fillId="3" borderId="0" xfId="1" applyNumberFormat="1" applyFont="1" applyFill="1" applyAlignment="1">
      <alignment horizontal="center"/>
    </xf>
    <xf numFmtId="0" fontId="7" fillId="0" borderId="0" xfId="1" quotePrefix="1" applyFont="1" applyAlignment="1">
      <alignment horizontal="center"/>
    </xf>
    <xf numFmtId="0" fontId="12" fillId="0" borderId="0" xfId="1" applyFont="1"/>
    <xf numFmtId="0" fontId="7" fillId="0" borderId="0" xfId="1" applyFont="1" applyAlignment="1">
      <alignment horizontal="left"/>
    </xf>
    <xf numFmtId="173" fontId="7" fillId="0" borderId="0" xfId="1" applyNumberFormat="1" applyFont="1"/>
    <xf numFmtId="0" fontId="2" fillId="0" borderId="0" xfId="0" quotePrefix="1" applyFont="1" applyAlignment="1">
      <alignment horizontal="left"/>
    </xf>
    <xf numFmtId="0" fontId="3" fillId="0" borderId="0" xfId="0" quotePrefix="1" applyFont="1" applyAlignment="1">
      <alignment horizontal="left"/>
    </xf>
    <xf numFmtId="0" fontId="14" fillId="0" borderId="0" xfId="0" applyFont="1"/>
    <xf numFmtId="0" fontId="2" fillId="2" borderId="4" xfId="0" applyFont="1" applyFill="1" applyBorder="1"/>
    <xf numFmtId="0" fontId="3" fillId="3" borderId="15" xfId="0" applyFont="1" applyFill="1" applyBorder="1"/>
    <xf numFmtId="0" fontId="7" fillId="2" borderId="0" xfId="0" applyFont="1" applyFill="1" applyAlignment="1">
      <alignment vertical="center"/>
    </xf>
    <xf numFmtId="0" fontId="7" fillId="2" borderId="10" xfId="0" applyFont="1" applyFill="1" applyBorder="1" applyAlignment="1">
      <alignment vertical="center"/>
    </xf>
    <xf numFmtId="3" fontId="7" fillId="2" borderId="0" xfId="3" applyNumberFormat="1" applyFont="1" applyFill="1" applyBorder="1" applyAlignment="1">
      <alignment horizontal="center"/>
    </xf>
    <xf numFmtId="0" fontId="6" fillId="2" borderId="16" xfId="1" applyFont="1" applyFill="1" applyBorder="1"/>
    <xf numFmtId="0" fontId="7" fillId="2" borderId="24" xfId="1" applyFont="1" applyFill="1" applyBorder="1"/>
    <xf numFmtId="0" fontId="7" fillId="2" borderId="23" xfId="1" applyFont="1" applyFill="1" applyBorder="1"/>
    <xf numFmtId="0" fontId="6" fillId="2" borderId="18" xfId="1" applyFont="1" applyFill="1" applyBorder="1"/>
    <xf numFmtId="0" fontId="7" fillId="2" borderId="30" xfId="1" applyFont="1" applyFill="1" applyBorder="1"/>
    <xf numFmtId="0" fontId="3" fillId="2" borderId="18" xfId="0" applyFont="1" applyFill="1" applyBorder="1"/>
    <xf numFmtId="0" fontId="3" fillId="0" borderId="18" xfId="0" applyFont="1" applyBorder="1"/>
    <xf numFmtId="0" fontId="1" fillId="2" borderId="1" xfId="1" applyFont="1" applyFill="1" applyBorder="1"/>
    <xf numFmtId="0" fontId="1" fillId="0" borderId="0" xfId="0" applyFont="1" applyAlignment="1">
      <alignment vertical="top" wrapText="1"/>
    </xf>
    <xf numFmtId="0" fontId="3" fillId="2" borderId="16"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2" xfId="0" applyFont="1" applyFill="1" applyBorder="1" applyAlignment="1">
      <alignment horizontal="center"/>
    </xf>
    <xf numFmtId="0" fontId="7" fillId="0" borderId="0" xfId="0" applyFont="1" applyAlignment="1">
      <alignment horizontal="left" vertical="center" wrapText="1"/>
    </xf>
    <xf numFmtId="0" fontId="7" fillId="2" borderId="0" xfId="1" applyFont="1" applyFill="1" applyAlignment="1">
      <alignment horizontal="left"/>
    </xf>
    <xf numFmtId="0" fontId="3" fillId="2" borderId="27" xfId="0" applyFont="1" applyFill="1" applyBorder="1" applyAlignment="1">
      <alignment horizontal="center"/>
    </xf>
    <xf numFmtId="0" fontId="3" fillId="2" borderId="28" xfId="0" applyFont="1" applyFill="1" applyBorder="1" applyAlignment="1">
      <alignment horizontal="center"/>
    </xf>
    <xf numFmtId="0" fontId="3" fillId="0" borderId="0" xfId="0" applyFont="1" applyAlignment="1">
      <alignment horizontal="left" wrapText="1"/>
    </xf>
    <xf numFmtId="0" fontId="1" fillId="0" borderId="0" xfId="0" applyFont="1" applyAlignment="1">
      <alignment vertical="top" wrapText="1"/>
    </xf>
  </cellXfs>
  <cellStyles count="6">
    <cellStyle name="Comma" xfId="3" builtinId="3"/>
    <cellStyle name="Comma 2" xfId="5" xr:uid="{6A3B3CBB-9111-4120-B7D4-D38AEC275279}"/>
    <cellStyle name="Normal" xfId="0" builtinId="0"/>
    <cellStyle name="Normal 2 2 3" xfId="2" xr:uid="{5AF89497-E342-4A98-AF3D-CAE289D04753}"/>
    <cellStyle name="Normal 2 3" xfId="1" xr:uid="{E4407AE1-9DEB-4A55-B72D-F5E33926CC74}"/>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556503</xdr:colOff>
      <xdr:row>15</xdr:row>
      <xdr:rowOff>132080</xdr:rowOff>
    </xdr:to>
    <xdr:pic>
      <xdr:nvPicPr>
        <xdr:cNvPr id="2" name="Picture 1">
          <a:extLst>
            <a:ext uri="{FF2B5EF4-FFF2-40B4-BE49-F238E27FC236}">
              <a16:creationId xmlns:a16="http://schemas.microsoft.com/office/drawing/2014/main" id="{D19D0DDE-E674-80D3-9A29-C3325A5FD0B9}"/>
            </a:ext>
          </a:extLst>
        </xdr:cNvPr>
        <xdr:cNvPicPr>
          <a:picLocks noChangeAspect="1"/>
        </xdr:cNvPicPr>
      </xdr:nvPicPr>
      <xdr:blipFill>
        <a:blip xmlns:r="http://schemas.openxmlformats.org/officeDocument/2006/relationships" r:embed="rId1"/>
        <a:stretch>
          <a:fillRect/>
        </a:stretch>
      </xdr:blipFill>
      <xdr:spPr>
        <a:xfrm>
          <a:off x="1" y="0"/>
          <a:ext cx="4102342" cy="2872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76201</xdr:colOff>
      <xdr:row>9</xdr:row>
      <xdr:rowOff>7620</xdr:rowOff>
    </xdr:from>
    <xdr:to>
      <xdr:col>17</xdr:col>
      <xdr:colOff>422657</xdr:colOff>
      <xdr:row>24</xdr:row>
      <xdr:rowOff>53340</xdr:rowOff>
    </xdr:to>
    <xdr:pic>
      <xdr:nvPicPr>
        <xdr:cNvPr id="2" name="Picture 1">
          <a:extLst>
            <a:ext uri="{FF2B5EF4-FFF2-40B4-BE49-F238E27FC236}">
              <a16:creationId xmlns:a16="http://schemas.microsoft.com/office/drawing/2014/main" id="{4BB22965-E50B-FBEA-CDC3-BB2940C4D559}"/>
            </a:ext>
          </a:extLst>
        </xdr:cNvPr>
        <xdr:cNvPicPr>
          <a:picLocks noChangeAspect="1"/>
        </xdr:cNvPicPr>
      </xdr:nvPicPr>
      <xdr:blipFill>
        <a:blip xmlns:r="http://schemas.openxmlformats.org/officeDocument/2006/relationships" r:embed="rId1"/>
        <a:stretch>
          <a:fillRect/>
        </a:stretch>
      </xdr:blipFill>
      <xdr:spPr>
        <a:xfrm>
          <a:off x="9372601" y="1661160"/>
          <a:ext cx="4004056" cy="2788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198665</xdr:colOff>
      <xdr:row>7</xdr:row>
      <xdr:rowOff>132443</xdr:rowOff>
    </xdr:from>
    <xdr:to>
      <xdr:col>11</xdr:col>
      <xdr:colOff>27551</xdr:colOff>
      <xdr:row>33</xdr:row>
      <xdr:rowOff>94587</xdr:rowOff>
    </xdr:to>
    <xdr:pic>
      <xdr:nvPicPr>
        <xdr:cNvPr id="2" name="Picture 1">
          <a:extLst>
            <a:ext uri="{FF2B5EF4-FFF2-40B4-BE49-F238E27FC236}">
              <a16:creationId xmlns:a16="http://schemas.microsoft.com/office/drawing/2014/main" id="{B750C3E1-5C95-D59D-2CBF-5C3957B6AA51}"/>
            </a:ext>
          </a:extLst>
        </xdr:cNvPr>
        <xdr:cNvPicPr>
          <a:picLocks noChangeAspect="1"/>
        </xdr:cNvPicPr>
      </xdr:nvPicPr>
      <xdr:blipFill>
        <a:blip xmlns:r="http://schemas.openxmlformats.org/officeDocument/2006/relationships" r:embed="rId1"/>
        <a:stretch>
          <a:fillRect/>
        </a:stretch>
      </xdr:blipFill>
      <xdr:spPr>
        <a:xfrm>
          <a:off x="198665" y="1402443"/>
          <a:ext cx="6514529" cy="4679287"/>
        </a:xfrm>
        <a:prstGeom prst="rect">
          <a:avLst/>
        </a:prstGeom>
      </xdr:spPr>
    </xdr:pic>
    <xdr:clientData/>
  </xdr:twoCellAnchor>
  <xdr:twoCellAnchor>
    <xdr:from>
      <xdr:col>0</xdr:col>
      <xdr:colOff>275167</xdr:colOff>
      <xdr:row>2</xdr:row>
      <xdr:rowOff>170343</xdr:rowOff>
    </xdr:from>
    <xdr:to>
      <xdr:col>3</xdr:col>
      <xdr:colOff>544286</xdr:colOff>
      <xdr:row>7</xdr:row>
      <xdr:rowOff>115914</xdr:rowOff>
    </xdr:to>
    <xdr:sp macro="" textlink="">
      <xdr:nvSpPr>
        <xdr:cNvPr id="3" name="Rectangle 2">
          <a:extLst>
            <a:ext uri="{FF2B5EF4-FFF2-40B4-BE49-F238E27FC236}">
              <a16:creationId xmlns:a16="http://schemas.microsoft.com/office/drawing/2014/main" id="{1E22F586-D78A-1024-1A85-581C88279906}"/>
            </a:ext>
          </a:extLst>
        </xdr:cNvPr>
        <xdr:cNvSpPr/>
      </xdr:nvSpPr>
      <xdr:spPr>
        <a:xfrm>
          <a:off x="275167" y="533200"/>
          <a:ext cx="2092476" cy="852714"/>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a:p>
          <a:pPr algn="l"/>
          <a:endParaRPr lang="en-US" sz="1100"/>
        </a:p>
        <a:p>
          <a:pPr algn="ctr"/>
          <a:r>
            <a:rPr lang="en-US" sz="1100"/>
            <a:t>Description</a:t>
          </a:r>
        </a:p>
      </xdr:txBody>
    </xdr:sp>
    <xdr:clientData/>
  </xdr:twoCellAnchor>
  <xdr:twoCellAnchor>
    <xdr:from>
      <xdr:col>7</xdr:col>
      <xdr:colOff>303388</xdr:colOff>
      <xdr:row>3</xdr:row>
      <xdr:rowOff>0</xdr:rowOff>
    </xdr:from>
    <xdr:to>
      <xdr:col>10</xdr:col>
      <xdr:colOff>571499</xdr:colOff>
      <xdr:row>7</xdr:row>
      <xdr:rowOff>127001</xdr:rowOff>
    </xdr:to>
    <xdr:sp macro="" textlink="">
      <xdr:nvSpPr>
        <xdr:cNvPr id="4" name="Rectangle 3">
          <a:extLst>
            <a:ext uri="{FF2B5EF4-FFF2-40B4-BE49-F238E27FC236}">
              <a16:creationId xmlns:a16="http://schemas.microsoft.com/office/drawing/2014/main" id="{B7B3CA8D-52E2-43D3-8D39-8E1D4DF77B68}"/>
            </a:ext>
          </a:extLst>
        </xdr:cNvPr>
        <xdr:cNvSpPr/>
      </xdr:nvSpPr>
      <xdr:spPr>
        <a:xfrm>
          <a:off x="4550832" y="550333"/>
          <a:ext cx="2088445" cy="860779"/>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a:p>
          <a:pPr algn="l"/>
          <a:endParaRPr lang="en-US" sz="1100"/>
        </a:p>
        <a:p>
          <a:pPr algn="ctr"/>
          <a:r>
            <a:rPr lang="en-US" sz="1100"/>
            <a:t>Term</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63500</xdr:colOff>
      <xdr:row>9</xdr:row>
      <xdr:rowOff>69850</xdr:rowOff>
    </xdr:from>
    <xdr:to>
      <xdr:col>11</xdr:col>
      <xdr:colOff>419436</xdr:colOff>
      <xdr:row>35</xdr:row>
      <xdr:rowOff>25644</xdr:rowOff>
    </xdr:to>
    <xdr:pic>
      <xdr:nvPicPr>
        <xdr:cNvPr id="2" name="Picture 1">
          <a:extLst>
            <a:ext uri="{FF2B5EF4-FFF2-40B4-BE49-F238E27FC236}">
              <a16:creationId xmlns:a16="http://schemas.microsoft.com/office/drawing/2014/main" id="{71B12010-6EA8-4B61-806F-F578059A2C86}"/>
            </a:ext>
          </a:extLst>
        </xdr:cNvPr>
        <xdr:cNvPicPr>
          <a:picLocks noChangeAspect="1"/>
        </xdr:cNvPicPr>
      </xdr:nvPicPr>
      <xdr:blipFill>
        <a:blip xmlns:r="http://schemas.openxmlformats.org/officeDocument/2006/relationships" r:embed="rId1"/>
        <a:stretch>
          <a:fillRect/>
        </a:stretch>
      </xdr:blipFill>
      <xdr:spPr>
        <a:xfrm>
          <a:off x="1797050" y="1727200"/>
          <a:ext cx="6534486" cy="4750044"/>
        </a:xfrm>
        <a:prstGeom prst="rect">
          <a:avLst/>
        </a:prstGeom>
      </xdr:spPr>
    </xdr:pic>
    <xdr:clientData/>
  </xdr:twoCellAnchor>
  <xdr:twoCellAnchor editAs="oneCell">
    <xdr:from>
      <xdr:col>8</xdr:col>
      <xdr:colOff>298451</xdr:colOff>
      <xdr:row>45</xdr:row>
      <xdr:rowOff>183367</xdr:rowOff>
    </xdr:from>
    <xdr:to>
      <xdr:col>12</xdr:col>
      <xdr:colOff>44451</xdr:colOff>
      <xdr:row>51</xdr:row>
      <xdr:rowOff>58803</xdr:rowOff>
    </xdr:to>
    <xdr:pic>
      <xdr:nvPicPr>
        <xdr:cNvPr id="5" name="Picture 4">
          <a:extLst>
            <a:ext uri="{FF2B5EF4-FFF2-40B4-BE49-F238E27FC236}">
              <a16:creationId xmlns:a16="http://schemas.microsoft.com/office/drawing/2014/main" id="{BE28D1C5-7EC0-B32C-6FEE-6533343CD71C}"/>
            </a:ext>
          </a:extLst>
        </xdr:cNvPr>
        <xdr:cNvPicPr>
          <a:picLocks noChangeAspect="1"/>
        </xdr:cNvPicPr>
      </xdr:nvPicPr>
      <xdr:blipFill>
        <a:blip xmlns:r="http://schemas.openxmlformats.org/officeDocument/2006/relationships" r:embed="rId2"/>
        <a:stretch>
          <a:fillRect/>
        </a:stretch>
      </xdr:blipFill>
      <xdr:spPr>
        <a:xfrm>
          <a:off x="6381751" y="8470117"/>
          <a:ext cx="2190750" cy="980336"/>
        </a:xfrm>
        <a:prstGeom prst="rect">
          <a:avLst/>
        </a:prstGeom>
      </xdr:spPr>
    </xdr:pic>
    <xdr:clientData/>
  </xdr:twoCellAnchor>
  <xdr:twoCellAnchor editAs="oneCell">
    <xdr:from>
      <xdr:col>1</xdr:col>
      <xdr:colOff>101600</xdr:colOff>
      <xdr:row>36</xdr:row>
      <xdr:rowOff>12700</xdr:rowOff>
    </xdr:from>
    <xdr:to>
      <xdr:col>8</xdr:col>
      <xdr:colOff>63722</xdr:colOff>
      <xdr:row>61</xdr:row>
      <xdr:rowOff>57389</xdr:rowOff>
    </xdr:to>
    <xdr:pic>
      <xdr:nvPicPr>
        <xdr:cNvPr id="6" name="Picture 5">
          <a:extLst>
            <a:ext uri="{FF2B5EF4-FFF2-40B4-BE49-F238E27FC236}">
              <a16:creationId xmlns:a16="http://schemas.microsoft.com/office/drawing/2014/main" id="{99AA9346-F7FD-C228-465E-3749237C2349}"/>
            </a:ext>
          </a:extLst>
        </xdr:cNvPr>
        <xdr:cNvPicPr>
          <a:picLocks noChangeAspect="1"/>
        </xdr:cNvPicPr>
      </xdr:nvPicPr>
      <xdr:blipFill>
        <a:blip xmlns:r="http://schemas.openxmlformats.org/officeDocument/2006/relationships" r:embed="rId3"/>
        <a:stretch>
          <a:fillRect/>
        </a:stretch>
      </xdr:blipFill>
      <xdr:spPr>
        <a:xfrm>
          <a:off x="1835150" y="6642100"/>
          <a:ext cx="4311872" cy="4648439"/>
        </a:xfrm>
        <a:prstGeom prst="rect">
          <a:avLst/>
        </a:prstGeom>
      </xdr:spPr>
    </xdr:pic>
    <xdr:clientData/>
  </xdr:twoCellAnchor>
  <xdr:twoCellAnchor editAs="oneCell">
    <xdr:from>
      <xdr:col>8</xdr:col>
      <xdr:colOff>336550</xdr:colOff>
      <xdr:row>56</xdr:row>
      <xdr:rowOff>44450</xdr:rowOff>
    </xdr:from>
    <xdr:to>
      <xdr:col>12</xdr:col>
      <xdr:colOff>133465</xdr:colOff>
      <xdr:row>61</xdr:row>
      <xdr:rowOff>44497</xdr:rowOff>
    </xdr:to>
    <xdr:pic>
      <xdr:nvPicPr>
        <xdr:cNvPr id="7" name="Picture 6">
          <a:extLst>
            <a:ext uri="{FF2B5EF4-FFF2-40B4-BE49-F238E27FC236}">
              <a16:creationId xmlns:a16="http://schemas.microsoft.com/office/drawing/2014/main" id="{074E80ED-1DFD-C02F-1899-68314F29D608}"/>
            </a:ext>
          </a:extLst>
        </xdr:cNvPr>
        <xdr:cNvPicPr>
          <a:picLocks noChangeAspect="1"/>
        </xdr:cNvPicPr>
      </xdr:nvPicPr>
      <xdr:blipFill>
        <a:blip xmlns:r="http://schemas.openxmlformats.org/officeDocument/2006/relationships" r:embed="rId4"/>
        <a:stretch>
          <a:fillRect/>
        </a:stretch>
      </xdr:blipFill>
      <xdr:spPr>
        <a:xfrm>
          <a:off x="6419850" y="10356850"/>
          <a:ext cx="2235315" cy="920797"/>
        </a:xfrm>
        <a:prstGeom prst="rect">
          <a:avLst/>
        </a:prstGeom>
      </xdr:spPr>
    </xdr:pic>
    <xdr:clientData/>
  </xdr:twoCellAnchor>
  <xdr:twoCellAnchor editAs="oneCell">
    <xdr:from>
      <xdr:col>8</xdr:col>
      <xdr:colOff>298450</xdr:colOff>
      <xdr:row>41</xdr:row>
      <xdr:rowOff>63500</xdr:rowOff>
    </xdr:from>
    <xdr:to>
      <xdr:col>12</xdr:col>
      <xdr:colOff>76314</xdr:colOff>
      <xdr:row>46</xdr:row>
      <xdr:rowOff>63547</xdr:rowOff>
    </xdr:to>
    <xdr:pic>
      <xdr:nvPicPr>
        <xdr:cNvPr id="8" name="Picture 7">
          <a:extLst>
            <a:ext uri="{FF2B5EF4-FFF2-40B4-BE49-F238E27FC236}">
              <a16:creationId xmlns:a16="http://schemas.microsoft.com/office/drawing/2014/main" id="{C8A1206B-8223-E56A-7E57-7591B0E1C928}"/>
            </a:ext>
          </a:extLst>
        </xdr:cNvPr>
        <xdr:cNvPicPr>
          <a:picLocks noChangeAspect="1"/>
        </xdr:cNvPicPr>
      </xdr:nvPicPr>
      <xdr:blipFill>
        <a:blip xmlns:r="http://schemas.openxmlformats.org/officeDocument/2006/relationships" r:embed="rId5"/>
        <a:stretch>
          <a:fillRect/>
        </a:stretch>
      </xdr:blipFill>
      <xdr:spPr>
        <a:xfrm>
          <a:off x="6381750" y="7613650"/>
          <a:ext cx="2216264" cy="920797"/>
        </a:xfrm>
        <a:prstGeom prst="rect">
          <a:avLst/>
        </a:prstGeom>
      </xdr:spPr>
    </xdr:pic>
    <xdr:clientData/>
  </xdr:twoCellAnchor>
  <xdr:twoCellAnchor editAs="oneCell">
    <xdr:from>
      <xdr:col>8</xdr:col>
      <xdr:colOff>273050</xdr:colOff>
      <xdr:row>36</xdr:row>
      <xdr:rowOff>44450</xdr:rowOff>
    </xdr:from>
    <xdr:to>
      <xdr:col>12</xdr:col>
      <xdr:colOff>63615</xdr:colOff>
      <xdr:row>41</xdr:row>
      <xdr:rowOff>63548</xdr:rowOff>
    </xdr:to>
    <xdr:pic>
      <xdr:nvPicPr>
        <xdr:cNvPr id="9" name="Picture 8">
          <a:extLst>
            <a:ext uri="{FF2B5EF4-FFF2-40B4-BE49-F238E27FC236}">
              <a16:creationId xmlns:a16="http://schemas.microsoft.com/office/drawing/2014/main" id="{DE1FF317-631E-4EF7-844A-B1E58916721E}"/>
            </a:ext>
          </a:extLst>
        </xdr:cNvPr>
        <xdr:cNvPicPr>
          <a:picLocks noChangeAspect="1"/>
        </xdr:cNvPicPr>
      </xdr:nvPicPr>
      <xdr:blipFill>
        <a:blip xmlns:r="http://schemas.openxmlformats.org/officeDocument/2006/relationships" r:embed="rId6"/>
        <a:stretch>
          <a:fillRect/>
        </a:stretch>
      </xdr:blipFill>
      <xdr:spPr>
        <a:xfrm>
          <a:off x="6356350" y="6673850"/>
          <a:ext cx="2235315" cy="939848"/>
        </a:xfrm>
        <a:prstGeom prst="rect">
          <a:avLst/>
        </a:prstGeom>
      </xdr:spPr>
    </xdr:pic>
    <xdr:clientData/>
  </xdr:twoCellAnchor>
  <xdr:twoCellAnchor editAs="oneCell">
    <xdr:from>
      <xdr:col>8</xdr:col>
      <xdr:colOff>298450</xdr:colOff>
      <xdr:row>51</xdr:row>
      <xdr:rowOff>50800</xdr:rowOff>
    </xdr:from>
    <xdr:to>
      <xdr:col>12</xdr:col>
      <xdr:colOff>95365</xdr:colOff>
      <xdr:row>56</xdr:row>
      <xdr:rowOff>44497</xdr:rowOff>
    </xdr:to>
    <xdr:pic>
      <xdr:nvPicPr>
        <xdr:cNvPr id="10" name="Picture 9">
          <a:extLst>
            <a:ext uri="{FF2B5EF4-FFF2-40B4-BE49-F238E27FC236}">
              <a16:creationId xmlns:a16="http://schemas.microsoft.com/office/drawing/2014/main" id="{73BBBFA4-3B28-85F6-9CCC-73A2061A8187}"/>
            </a:ext>
          </a:extLst>
        </xdr:cNvPr>
        <xdr:cNvPicPr>
          <a:picLocks noChangeAspect="1"/>
        </xdr:cNvPicPr>
      </xdr:nvPicPr>
      <xdr:blipFill>
        <a:blip xmlns:r="http://schemas.openxmlformats.org/officeDocument/2006/relationships" r:embed="rId7"/>
        <a:stretch>
          <a:fillRect/>
        </a:stretch>
      </xdr:blipFill>
      <xdr:spPr>
        <a:xfrm>
          <a:off x="6381750" y="9442450"/>
          <a:ext cx="2235315" cy="914447"/>
        </a:xfrm>
        <a:prstGeom prst="rect">
          <a:avLst/>
        </a:prstGeom>
      </xdr:spPr>
    </xdr:pic>
    <xdr:clientData/>
  </xdr:twoCellAnchor>
  <xdr:twoCellAnchor>
    <xdr:from>
      <xdr:col>8</xdr:col>
      <xdr:colOff>98778</xdr:colOff>
      <xdr:row>38</xdr:row>
      <xdr:rowOff>35278</xdr:rowOff>
    </xdr:from>
    <xdr:to>
      <xdr:col>8</xdr:col>
      <xdr:colOff>275166</xdr:colOff>
      <xdr:row>39</xdr:row>
      <xdr:rowOff>21167</xdr:rowOff>
    </xdr:to>
    <xdr:sp macro="" textlink="">
      <xdr:nvSpPr>
        <xdr:cNvPr id="11" name="Arrow: Right 10">
          <a:extLst>
            <a:ext uri="{FF2B5EF4-FFF2-40B4-BE49-F238E27FC236}">
              <a16:creationId xmlns:a16="http://schemas.microsoft.com/office/drawing/2014/main" id="{83A0558B-1F37-CD74-D81D-E3FC9180E28F}"/>
            </a:ext>
          </a:extLst>
        </xdr:cNvPr>
        <xdr:cNvSpPr/>
      </xdr:nvSpPr>
      <xdr:spPr>
        <a:xfrm>
          <a:off x="6166556" y="7006167"/>
          <a:ext cx="176388" cy="16933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112889</xdr:colOff>
      <xdr:row>43</xdr:row>
      <xdr:rowOff>14111</xdr:rowOff>
    </xdr:from>
    <xdr:to>
      <xdr:col>8</xdr:col>
      <xdr:colOff>289277</xdr:colOff>
      <xdr:row>44</xdr:row>
      <xdr:rowOff>-1</xdr:rowOff>
    </xdr:to>
    <xdr:sp macro="" textlink="">
      <xdr:nvSpPr>
        <xdr:cNvPr id="12" name="Arrow: Right 11">
          <a:extLst>
            <a:ext uri="{FF2B5EF4-FFF2-40B4-BE49-F238E27FC236}">
              <a16:creationId xmlns:a16="http://schemas.microsoft.com/office/drawing/2014/main" id="{14512C47-75A8-4797-AB03-D0D5D744E914}"/>
            </a:ext>
          </a:extLst>
        </xdr:cNvPr>
        <xdr:cNvSpPr/>
      </xdr:nvSpPr>
      <xdr:spPr>
        <a:xfrm>
          <a:off x="6180667" y="7902222"/>
          <a:ext cx="176388" cy="16933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98778</xdr:colOff>
      <xdr:row>48</xdr:row>
      <xdr:rowOff>14111</xdr:rowOff>
    </xdr:from>
    <xdr:to>
      <xdr:col>8</xdr:col>
      <xdr:colOff>275166</xdr:colOff>
      <xdr:row>48</xdr:row>
      <xdr:rowOff>183444</xdr:rowOff>
    </xdr:to>
    <xdr:sp macro="" textlink="">
      <xdr:nvSpPr>
        <xdr:cNvPr id="13" name="Arrow: Right 12">
          <a:extLst>
            <a:ext uri="{FF2B5EF4-FFF2-40B4-BE49-F238E27FC236}">
              <a16:creationId xmlns:a16="http://schemas.microsoft.com/office/drawing/2014/main" id="{AE13C79E-08FE-413D-BAE2-5BAB92569489}"/>
            </a:ext>
          </a:extLst>
        </xdr:cNvPr>
        <xdr:cNvSpPr/>
      </xdr:nvSpPr>
      <xdr:spPr>
        <a:xfrm>
          <a:off x="6166556" y="8819444"/>
          <a:ext cx="176388" cy="16933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84666</xdr:colOff>
      <xdr:row>53</xdr:row>
      <xdr:rowOff>14111</xdr:rowOff>
    </xdr:from>
    <xdr:to>
      <xdr:col>8</xdr:col>
      <xdr:colOff>261054</xdr:colOff>
      <xdr:row>54</xdr:row>
      <xdr:rowOff>0</xdr:rowOff>
    </xdr:to>
    <xdr:sp macro="" textlink="">
      <xdr:nvSpPr>
        <xdr:cNvPr id="14" name="Arrow: Right 13">
          <a:extLst>
            <a:ext uri="{FF2B5EF4-FFF2-40B4-BE49-F238E27FC236}">
              <a16:creationId xmlns:a16="http://schemas.microsoft.com/office/drawing/2014/main" id="{EF179AEE-3308-4E0B-AAF7-5FF01D005D67}"/>
            </a:ext>
          </a:extLst>
        </xdr:cNvPr>
        <xdr:cNvSpPr/>
      </xdr:nvSpPr>
      <xdr:spPr>
        <a:xfrm>
          <a:off x="6152444" y="9736667"/>
          <a:ext cx="176388" cy="16933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105834</xdr:colOff>
      <xdr:row>58</xdr:row>
      <xdr:rowOff>14111</xdr:rowOff>
    </xdr:from>
    <xdr:to>
      <xdr:col>8</xdr:col>
      <xdr:colOff>282222</xdr:colOff>
      <xdr:row>59</xdr:row>
      <xdr:rowOff>0</xdr:rowOff>
    </xdr:to>
    <xdr:sp macro="" textlink="">
      <xdr:nvSpPr>
        <xdr:cNvPr id="15" name="Arrow: Right 14">
          <a:extLst>
            <a:ext uri="{FF2B5EF4-FFF2-40B4-BE49-F238E27FC236}">
              <a16:creationId xmlns:a16="http://schemas.microsoft.com/office/drawing/2014/main" id="{8F7A8E11-E5C6-4C5F-9504-C9D77ECA4161}"/>
            </a:ext>
          </a:extLst>
        </xdr:cNvPr>
        <xdr:cNvSpPr/>
      </xdr:nvSpPr>
      <xdr:spPr>
        <a:xfrm>
          <a:off x="6173612" y="10653889"/>
          <a:ext cx="176388" cy="16933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C65A-D224-494B-834C-26A65BCDF30C}">
  <dimension ref="A1:AI17"/>
  <sheetViews>
    <sheetView zoomScaleNormal="100" workbookViewId="0"/>
  </sheetViews>
  <sheetFormatPr defaultColWidth="8.7109375" defaultRowHeight="14.45"/>
  <cols>
    <col min="1" max="1" width="11.5703125" style="3" customWidth="1"/>
    <col min="2" max="2" width="46" style="3" customWidth="1"/>
    <col min="3" max="3" width="10.7109375" style="3" customWidth="1"/>
    <col min="4" max="4" width="14.7109375" style="3" customWidth="1"/>
    <col min="5" max="10" width="10.7109375" style="3" customWidth="1"/>
    <col min="11" max="16384" width="8.7109375" style="3"/>
  </cols>
  <sheetData>
    <row r="1" spans="1:35">
      <c r="A1" s="146" t="s">
        <v>0</v>
      </c>
      <c r="B1" s="147"/>
      <c r="C1" s="147"/>
      <c r="D1" s="148"/>
      <c r="AI1" s="3" t="s">
        <v>1</v>
      </c>
    </row>
    <row r="2" spans="1:35">
      <c r="A2" s="149"/>
      <c r="B2" s="16"/>
      <c r="C2" s="16"/>
      <c r="D2" s="150"/>
      <c r="AI2" s="3" t="s">
        <v>1</v>
      </c>
    </row>
    <row r="3" spans="1:35">
      <c r="A3" s="151"/>
      <c r="B3" s="31" t="s">
        <v>2</v>
      </c>
      <c r="C3" s="145">
        <v>850000</v>
      </c>
      <c r="D3" s="150"/>
      <c r="AI3" s="3" t="s">
        <v>1</v>
      </c>
    </row>
    <row r="4" spans="1:35">
      <c r="A4" s="151"/>
      <c r="B4" s="31" t="s">
        <v>3</v>
      </c>
      <c r="C4" s="145">
        <v>200000</v>
      </c>
      <c r="D4" s="150"/>
    </row>
    <row r="5" spans="1:35">
      <c r="A5" s="151"/>
      <c r="B5" s="31" t="s">
        <v>4</v>
      </c>
      <c r="C5" s="145">
        <v>400000</v>
      </c>
      <c r="D5" s="150"/>
    </row>
    <row r="6" spans="1:35">
      <c r="A6" s="151"/>
      <c r="B6" s="31" t="s">
        <v>5</v>
      </c>
      <c r="C6" s="145">
        <v>600000</v>
      </c>
      <c r="D6" s="150"/>
    </row>
    <row r="7" spans="1:35">
      <c r="A7" s="149"/>
      <c r="B7" s="16"/>
      <c r="C7" s="16"/>
      <c r="D7" s="150"/>
    </row>
    <row r="8" spans="1:35">
      <c r="A8" s="152"/>
      <c r="B8" s="31" t="s">
        <v>6</v>
      </c>
      <c r="C8" s="16"/>
      <c r="D8" s="150"/>
    </row>
    <row r="9" spans="1:35">
      <c r="A9" s="149"/>
      <c r="B9" s="16"/>
      <c r="C9" s="16"/>
      <c r="D9" s="150"/>
    </row>
    <row r="10" spans="1:35">
      <c r="A10" s="149" t="s">
        <v>7</v>
      </c>
      <c r="B10" s="31" t="s">
        <v>8</v>
      </c>
      <c r="C10" s="16"/>
      <c r="D10" s="150"/>
    </row>
    <row r="11" spans="1:35">
      <c r="A11" s="149" t="s">
        <v>9</v>
      </c>
      <c r="B11" s="31" t="s">
        <v>10</v>
      </c>
      <c r="C11" s="16"/>
      <c r="D11" s="150"/>
    </row>
    <row r="12" spans="1:35" ht="15" thickBot="1">
      <c r="A12" s="149" t="s">
        <v>11</v>
      </c>
      <c r="B12" s="31" t="s">
        <v>12</v>
      </c>
      <c r="C12" s="16"/>
      <c r="D12" s="150"/>
    </row>
    <row r="13" spans="1:35" ht="15" thickBot="1">
      <c r="A13" s="23" t="s">
        <v>13</v>
      </c>
      <c r="B13" s="24"/>
      <c r="C13" s="29"/>
      <c r="D13" s="18"/>
    </row>
    <row r="14" spans="1:35" ht="15" thickBot="1">
      <c r="A14" s="23" t="s">
        <v>14</v>
      </c>
      <c r="B14" s="24"/>
      <c r="C14" s="29"/>
      <c r="D14" s="18"/>
    </row>
    <row r="15" spans="1:35" ht="15" thickBot="1">
      <c r="A15" s="153" t="s">
        <v>15</v>
      </c>
      <c r="B15" s="22"/>
      <c r="C15" s="34"/>
      <c r="D15" s="18"/>
    </row>
    <row r="16" spans="1:35" ht="15" thickBot="1">
      <c r="A16" s="27" t="s">
        <v>16</v>
      </c>
      <c r="B16" s="28"/>
      <c r="C16" s="24"/>
      <c r="D16" s="29"/>
    </row>
    <row r="17" spans="2:11">
      <c r="B17" s="5"/>
      <c r="C17" s="5"/>
      <c r="D17" s="5"/>
      <c r="K17" s="4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93EC-3781-4350-A552-DFC8921A6BF6}">
  <dimension ref="A1:Q64"/>
  <sheetViews>
    <sheetView zoomScaleNormal="100" workbookViewId="0"/>
  </sheetViews>
  <sheetFormatPr defaultColWidth="8.7109375" defaultRowHeight="14.45"/>
  <cols>
    <col min="1" max="1" width="24.85546875" style="3" customWidth="1"/>
    <col min="2" max="2" width="9.85546875" style="3" customWidth="1"/>
    <col min="3" max="16384" width="8.7109375" style="3"/>
  </cols>
  <sheetData>
    <row r="1" spans="1:17">
      <c r="A1" s="1" t="s">
        <v>17</v>
      </c>
      <c r="B1" s="3" t="s">
        <v>254</v>
      </c>
    </row>
    <row r="2" spans="1:17">
      <c r="A2" s="1" t="s">
        <v>19</v>
      </c>
      <c r="B2" s="3" t="s">
        <v>256</v>
      </c>
    </row>
    <row r="3" spans="1:17">
      <c r="A3" s="1" t="s">
        <v>21</v>
      </c>
      <c r="B3" s="3" t="s">
        <v>202</v>
      </c>
    </row>
    <row r="4" spans="1:17">
      <c r="A4" s="1" t="s">
        <v>23</v>
      </c>
      <c r="B4" s="3" t="s">
        <v>24</v>
      </c>
    </row>
    <row r="5" spans="1:17">
      <c r="A5" s="1" t="s">
        <v>25</v>
      </c>
      <c r="B5" s="3" t="s">
        <v>257</v>
      </c>
    </row>
    <row r="6" spans="1:17" ht="29.45" customHeight="1">
      <c r="A6" s="1" t="s">
        <v>27</v>
      </c>
      <c r="B6" s="166" t="s">
        <v>258</v>
      </c>
      <c r="C6" s="166"/>
      <c r="D6" s="166"/>
      <c r="E6" s="166"/>
      <c r="F6" s="166"/>
      <c r="G6" s="166"/>
      <c r="H6" s="166"/>
      <c r="I6" s="166"/>
      <c r="J6" s="166"/>
      <c r="K6" s="166"/>
      <c r="L6" s="166"/>
      <c r="M6" s="166"/>
      <c r="N6" s="166"/>
      <c r="O6" s="166"/>
      <c r="P6" s="166"/>
      <c r="Q6" s="166"/>
    </row>
    <row r="7" spans="1:17">
      <c r="A7" s="1" t="s">
        <v>29</v>
      </c>
      <c r="B7" s="3" t="s">
        <v>30</v>
      </c>
    </row>
    <row r="8" spans="1:17">
      <c r="A8" s="1" t="s">
        <v>31</v>
      </c>
      <c r="B8" s="3" t="s">
        <v>32</v>
      </c>
    </row>
    <row r="9" spans="1:17">
      <c r="A9" s="2" t="s">
        <v>33</v>
      </c>
      <c r="B9" s="3" t="s">
        <v>259</v>
      </c>
    </row>
    <row r="37" spans="1:1">
      <c r="A37" s="2" t="s">
        <v>260</v>
      </c>
    </row>
    <row r="38" spans="1:1">
      <c r="A38" s="2" t="s">
        <v>261</v>
      </c>
    </row>
    <row r="63" spans="1:2">
      <c r="A63" s="2" t="s">
        <v>47</v>
      </c>
      <c r="B63" s="3" t="s">
        <v>262</v>
      </c>
    </row>
    <row r="64" spans="1:2">
      <c r="A64" s="2" t="s">
        <v>117</v>
      </c>
      <c r="B64" s="3" t="s">
        <v>263</v>
      </c>
    </row>
  </sheetData>
  <mergeCells count="1">
    <mergeCell ref="B6:Q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F851C-30DE-43FD-B80F-049D5711DDFF}">
  <dimension ref="A1:J16"/>
  <sheetViews>
    <sheetView zoomScaleNormal="100" workbookViewId="0"/>
  </sheetViews>
  <sheetFormatPr defaultColWidth="8.7109375" defaultRowHeight="14.45"/>
  <cols>
    <col min="1" max="1" width="12" style="3" customWidth="1"/>
    <col min="2" max="10" width="10.7109375" style="3" customWidth="1"/>
    <col min="11" max="16384" width="8.7109375" style="3"/>
  </cols>
  <sheetData>
    <row r="1" spans="1:10">
      <c r="A1" s="9" t="s">
        <v>264</v>
      </c>
      <c r="B1" s="31"/>
      <c r="C1" s="31"/>
      <c r="D1" s="31"/>
      <c r="E1" s="31"/>
      <c r="F1" s="31"/>
      <c r="G1" s="31"/>
      <c r="H1" s="31"/>
      <c r="I1" s="31"/>
      <c r="J1" s="10"/>
    </row>
    <row r="2" spans="1:10">
      <c r="A2" s="9"/>
      <c r="B2" s="31"/>
      <c r="C2" s="31"/>
      <c r="D2" s="31"/>
      <c r="E2" s="31"/>
      <c r="F2" s="31"/>
      <c r="G2" s="31"/>
      <c r="H2" s="31"/>
      <c r="I2" s="31"/>
      <c r="J2" s="10"/>
    </row>
    <row r="3" spans="1:10">
      <c r="A3" s="31" t="s">
        <v>265</v>
      </c>
      <c r="C3" s="31"/>
      <c r="D3" s="31"/>
      <c r="E3" s="31"/>
      <c r="F3" s="31"/>
      <c r="G3" s="31"/>
      <c r="H3" s="31"/>
      <c r="I3" s="31"/>
      <c r="J3" s="10"/>
    </row>
    <row r="4" spans="1:10">
      <c r="A4" s="20"/>
      <c r="B4" s="16"/>
      <c r="C4" s="16"/>
      <c r="D4" s="16"/>
      <c r="E4" s="16"/>
      <c r="F4" s="16"/>
      <c r="G4" s="16"/>
      <c r="H4" s="16"/>
      <c r="I4" s="16"/>
      <c r="J4" s="21"/>
    </row>
    <row r="5" spans="1:10">
      <c r="A5" s="39"/>
      <c r="B5" s="11" t="s">
        <v>266</v>
      </c>
      <c r="C5" s="6"/>
      <c r="D5" s="6"/>
      <c r="E5" s="6"/>
      <c r="F5" s="6"/>
      <c r="G5" s="6"/>
      <c r="H5" s="6"/>
      <c r="I5" s="6"/>
      <c r="J5" s="21"/>
    </row>
    <row r="6" spans="1:10">
      <c r="A6" s="39"/>
      <c r="B6" s="12" t="s">
        <v>267</v>
      </c>
      <c r="C6" s="16"/>
      <c r="D6" s="16"/>
      <c r="E6" s="16"/>
      <c r="F6" s="16"/>
      <c r="G6" s="16"/>
      <c r="H6" s="16"/>
      <c r="I6" s="16"/>
      <c r="J6" s="21"/>
    </row>
    <row r="7" spans="1:10">
      <c r="A7" s="39"/>
      <c r="B7" s="12" t="s">
        <v>268</v>
      </c>
      <c r="C7" s="16"/>
      <c r="D7" s="16"/>
      <c r="E7" s="16"/>
      <c r="F7" s="16"/>
      <c r="G7" s="16"/>
      <c r="H7" s="16"/>
      <c r="I7" s="16"/>
      <c r="J7" s="21"/>
    </row>
    <row r="8" spans="1:10">
      <c r="A8" s="20"/>
      <c r="B8" s="12" t="s">
        <v>269</v>
      </c>
      <c r="C8" s="16"/>
      <c r="D8" s="16"/>
      <c r="E8" s="16"/>
      <c r="F8" s="16"/>
      <c r="G8" s="16"/>
      <c r="H8" s="16"/>
      <c r="I8" s="16"/>
      <c r="J8" s="21"/>
    </row>
    <row r="9" spans="1:10">
      <c r="A9" s="39"/>
      <c r="B9" s="12" t="s">
        <v>270</v>
      </c>
      <c r="C9" s="8"/>
      <c r="D9" s="8"/>
      <c r="E9" s="8"/>
      <c r="F9" s="8"/>
      <c r="G9" s="8"/>
      <c r="H9" s="16"/>
      <c r="I9" s="16"/>
      <c r="J9" s="21"/>
    </row>
    <row r="10" spans="1:10">
      <c r="A10" s="39"/>
      <c r="B10" s="12" t="s">
        <v>271</v>
      </c>
      <c r="C10" s="16"/>
      <c r="D10" s="16"/>
      <c r="E10" s="16"/>
      <c r="F10" s="16"/>
      <c r="G10" s="16"/>
      <c r="H10" s="16"/>
      <c r="I10" s="16"/>
      <c r="J10" s="21"/>
    </row>
    <row r="11" spans="1:10">
      <c r="A11" s="39"/>
      <c r="B11" s="12" t="s">
        <v>272</v>
      </c>
      <c r="C11" s="16"/>
      <c r="D11" s="16"/>
      <c r="E11" s="16"/>
      <c r="F11" s="16"/>
      <c r="G11" s="16"/>
      <c r="H11" s="16"/>
      <c r="I11" s="16"/>
      <c r="J11" s="21"/>
    </row>
    <row r="12" spans="1:10">
      <c r="A12" s="39"/>
      <c r="B12" s="16"/>
      <c r="C12" s="16"/>
      <c r="D12" s="16"/>
      <c r="E12" s="16"/>
      <c r="F12" s="16"/>
      <c r="G12" s="16"/>
      <c r="H12" s="16"/>
      <c r="I12" s="16"/>
      <c r="J12" s="21"/>
    </row>
    <row r="13" spans="1:10">
      <c r="A13" s="7" t="s">
        <v>273</v>
      </c>
      <c r="B13" s="12" t="s">
        <v>274</v>
      </c>
      <c r="C13" s="16"/>
      <c r="D13" s="16"/>
      <c r="E13" s="16"/>
      <c r="F13" s="16"/>
      <c r="G13" s="16"/>
      <c r="H13" s="16"/>
      <c r="I13" s="16"/>
      <c r="J13" s="21"/>
    </row>
    <row r="14" spans="1:10">
      <c r="A14" s="12" t="s">
        <v>275</v>
      </c>
      <c r="B14" s="12" t="s">
        <v>276</v>
      </c>
      <c r="C14" s="16"/>
      <c r="D14" s="16"/>
      <c r="E14" s="16"/>
      <c r="F14" s="16"/>
      <c r="G14" s="16"/>
      <c r="H14" s="16"/>
      <c r="I14" s="16"/>
      <c r="J14" s="21"/>
    </row>
    <row r="15" spans="1:10" ht="15" thickBot="1">
      <c r="A15" s="7" t="s">
        <v>277</v>
      </c>
      <c r="B15" s="12" t="s">
        <v>278</v>
      </c>
      <c r="C15" s="16"/>
      <c r="D15" s="16"/>
      <c r="E15" s="16"/>
      <c r="F15" s="16"/>
      <c r="G15" s="16"/>
      <c r="H15" s="16"/>
      <c r="I15" s="16"/>
      <c r="J15" s="21"/>
    </row>
    <row r="16" spans="1:10" ht="15" thickBot="1">
      <c r="A16" s="27" t="s">
        <v>16</v>
      </c>
      <c r="B16" s="28"/>
      <c r="C16" s="24"/>
      <c r="D16" s="24"/>
      <c r="E16" s="24"/>
      <c r="F16" s="24"/>
      <c r="G16" s="24"/>
      <c r="H16" s="24"/>
      <c r="I16" s="24"/>
      <c r="J16" s="2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2DC52-9C1C-4342-9F95-66881D6E2433}">
  <dimension ref="A1:Q58"/>
  <sheetViews>
    <sheetView tabSelected="1" zoomScaleNormal="100" workbookViewId="0"/>
  </sheetViews>
  <sheetFormatPr defaultColWidth="8.7109375" defaultRowHeight="14.45"/>
  <cols>
    <col min="1" max="1" width="24.85546875" style="3" customWidth="1"/>
    <col min="2" max="2" width="11.7109375" style="3" customWidth="1"/>
    <col min="3" max="11" width="10.5703125" style="3" customWidth="1"/>
    <col min="12" max="16384" width="8.7109375" style="3"/>
  </cols>
  <sheetData>
    <row r="1" spans="1:17">
      <c r="A1" s="1" t="s">
        <v>17</v>
      </c>
      <c r="B1" s="3" t="s">
        <v>279</v>
      </c>
    </row>
    <row r="2" spans="1:17">
      <c r="A2" s="1" t="s">
        <v>19</v>
      </c>
      <c r="B2" s="3" t="s">
        <v>20</v>
      </c>
    </row>
    <row r="3" spans="1:17">
      <c r="A3" s="1" t="s">
        <v>21</v>
      </c>
      <c r="B3" s="3" t="s">
        <v>280</v>
      </c>
    </row>
    <row r="4" spans="1:17">
      <c r="A4" s="1" t="s">
        <v>23</v>
      </c>
      <c r="B4" s="3" t="s">
        <v>24</v>
      </c>
    </row>
    <row r="5" spans="1:17">
      <c r="A5" s="1" t="s">
        <v>25</v>
      </c>
      <c r="B5" s="3" t="s">
        <v>281</v>
      </c>
    </row>
    <row r="6" spans="1:17" ht="29.1" customHeight="1">
      <c r="A6" s="1" t="s">
        <v>27</v>
      </c>
      <c r="B6" s="166" t="s">
        <v>282</v>
      </c>
      <c r="C6" s="166"/>
      <c r="D6" s="166"/>
      <c r="E6" s="166"/>
      <c r="F6" s="166"/>
      <c r="G6" s="166"/>
      <c r="H6" s="166"/>
      <c r="I6" s="166"/>
      <c r="J6" s="166"/>
      <c r="K6" s="166"/>
      <c r="L6" s="166"/>
      <c r="M6" s="166"/>
      <c r="N6" s="166"/>
      <c r="O6" s="166"/>
      <c r="P6" s="166"/>
      <c r="Q6" s="166"/>
    </row>
    <row r="7" spans="1:17">
      <c r="A7" s="1" t="s">
        <v>29</v>
      </c>
      <c r="B7" s="3" t="s">
        <v>30</v>
      </c>
    </row>
    <row r="8" spans="1:17">
      <c r="A8" s="1" t="s">
        <v>31</v>
      </c>
      <c r="B8" s="3" t="s">
        <v>32</v>
      </c>
    </row>
    <row r="9" spans="1:17" ht="15" thickBot="1">
      <c r="A9" s="2" t="s">
        <v>33</v>
      </c>
      <c r="B9" s="3" t="s">
        <v>259</v>
      </c>
    </row>
    <row r="10" spans="1:17">
      <c r="B10" s="4" t="s">
        <v>264</v>
      </c>
      <c r="C10" s="13"/>
      <c r="D10" s="13"/>
      <c r="E10" s="13"/>
      <c r="F10" s="13"/>
      <c r="G10" s="13"/>
      <c r="H10" s="13"/>
      <c r="I10" s="13"/>
      <c r="J10" s="13"/>
      <c r="K10" s="14"/>
    </row>
    <row r="11" spans="1:17">
      <c r="B11" s="9"/>
      <c r="C11" s="31"/>
      <c r="D11" s="31"/>
      <c r="E11" s="31"/>
      <c r="F11" s="31"/>
      <c r="G11" s="31"/>
      <c r="H11" s="31"/>
      <c r="I11" s="31"/>
      <c r="J11" s="31"/>
      <c r="K11" s="10"/>
    </row>
    <row r="12" spans="1:17">
      <c r="B12" s="20" t="s">
        <v>265</v>
      </c>
      <c r="D12" s="31"/>
      <c r="E12" s="31"/>
      <c r="F12" s="31"/>
      <c r="G12" s="31"/>
      <c r="H12" s="31"/>
      <c r="I12" s="31"/>
      <c r="J12" s="31"/>
      <c r="K12" s="10"/>
    </row>
    <row r="13" spans="1:17">
      <c r="B13" s="20"/>
      <c r="C13" s="16"/>
      <c r="D13" s="16"/>
      <c r="E13" s="16"/>
      <c r="F13" s="16"/>
      <c r="G13" s="16"/>
      <c r="H13" s="16"/>
      <c r="I13" s="16"/>
      <c r="J13" s="16"/>
      <c r="K13" s="21"/>
    </row>
    <row r="14" spans="1:17">
      <c r="B14" s="15"/>
      <c r="C14" s="11" t="s">
        <v>266</v>
      </c>
      <c r="D14" s="6"/>
      <c r="E14" s="6"/>
      <c r="F14" s="6"/>
      <c r="G14" s="6"/>
      <c r="H14" s="6"/>
      <c r="I14" s="6"/>
      <c r="J14" s="6"/>
      <c r="K14" s="21"/>
    </row>
    <row r="15" spans="1:17">
      <c r="B15" s="15"/>
      <c r="C15" s="12" t="s">
        <v>267</v>
      </c>
      <c r="D15" s="16"/>
      <c r="E15" s="16"/>
      <c r="F15" s="16"/>
      <c r="G15" s="16"/>
      <c r="H15" s="16"/>
      <c r="I15" s="16"/>
      <c r="J15" s="16"/>
      <c r="K15" s="21"/>
    </row>
    <row r="16" spans="1:17">
      <c r="B16" s="15"/>
      <c r="C16" s="12" t="s">
        <v>268</v>
      </c>
      <c r="D16" s="16"/>
      <c r="E16" s="16"/>
      <c r="F16" s="16"/>
      <c r="G16" s="16"/>
      <c r="H16" s="16"/>
      <c r="I16" s="16"/>
      <c r="J16" s="16"/>
      <c r="K16" s="21"/>
    </row>
    <row r="17" spans="1:12">
      <c r="B17" s="20"/>
      <c r="C17" s="12" t="s">
        <v>269</v>
      </c>
      <c r="D17" s="16"/>
      <c r="E17" s="16"/>
      <c r="F17" s="16"/>
      <c r="G17" s="16"/>
      <c r="H17" s="16"/>
      <c r="I17" s="16"/>
      <c r="J17" s="16"/>
      <c r="K17" s="21"/>
    </row>
    <row r="18" spans="1:12">
      <c r="B18" s="15"/>
      <c r="C18" s="12" t="s">
        <v>270</v>
      </c>
      <c r="D18" s="8"/>
      <c r="E18" s="8"/>
      <c r="F18" s="8"/>
      <c r="G18" s="8"/>
      <c r="H18" s="8"/>
      <c r="I18" s="16"/>
      <c r="J18" s="16"/>
      <c r="K18" s="21"/>
    </row>
    <row r="19" spans="1:12">
      <c r="B19" s="15"/>
      <c r="C19" s="12" t="s">
        <v>271</v>
      </c>
      <c r="D19" s="16"/>
      <c r="E19" s="16"/>
      <c r="F19" s="16"/>
      <c r="G19" s="16"/>
      <c r="H19" s="16"/>
      <c r="I19" s="16"/>
      <c r="J19" s="16"/>
      <c r="K19" s="21"/>
    </row>
    <row r="20" spans="1:12">
      <c r="B20" s="15"/>
      <c r="C20" s="12" t="s">
        <v>272</v>
      </c>
      <c r="D20" s="16"/>
      <c r="E20" s="16"/>
      <c r="F20" s="16"/>
      <c r="G20" s="16"/>
      <c r="H20" s="16"/>
      <c r="I20" s="16"/>
      <c r="J20" s="16"/>
      <c r="K20" s="21"/>
    </row>
    <row r="21" spans="1:12">
      <c r="B21" s="15"/>
      <c r="C21" s="16"/>
      <c r="D21" s="16"/>
      <c r="E21" s="16"/>
      <c r="F21" s="16"/>
      <c r="G21" s="16"/>
      <c r="H21" s="16"/>
      <c r="I21" s="16"/>
      <c r="J21" s="16"/>
      <c r="K21" s="21"/>
    </row>
    <row r="22" spans="1:12">
      <c r="B22" s="7" t="s">
        <v>273</v>
      </c>
      <c r="C22" s="12" t="s">
        <v>274</v>
      </c>
      <c r="D22" s="16"/>
      <c r="E22" s="16"/>
      <c r="F22" s="16"/>
      <c r="G22" s="16"/>
      <c r="H22" s="16"/>
      <c r="I22" s="16"/>
      <c r="J22" s="16"/>
      <c r="K22" s="21"/>
    </row>
    <row r="23" spans="1:12">
      <c r="B23" s="7" t="s">
        <v>275</v>
      </c>
      <c r="C23" s="12" t="s">
        <v>276</v>
      </c>
      <c r="D23" s="16"/>
      <c r="E23" s="16"/>
      <c r="F23" s="16"/>
      <c r="G23" s="16"/>
      <c r="H23" s="16"/>
      <c r="I23" s="16"/>
      <c r="J23" s="16"/>
      <c r="K23" s="21"/>
    </row>
    <row r="24" spans="1:12" ht="15" thickBot="1">
      <c r="B24" s="108" t="s">
        <v>277</v>
      </c>
      <c r="C24" s="109" t="s">
        <v>278</v>
      </c>
      <c r="D24" s="26"/>
      <c r="E24" s="26"/>
      <c r="F24" s="26"/>
      <c r="G24" s="26"/>
      <c r="H24" s="26"/>
      <c r="I24" s="26"/>
      <c r="J24" s="26"/>
      <c r="K24" s="37"/>
    </row>
    <row r="25" spans="1:12" ht="15" thickBot="1">
      <c r="B25" s="27" t="s">
        <v>16</v>
      </c>
      <c r="C25" s="28"/>
      <c r="D25" s="24"/>
      <c r="E25" s="24"/>
      <c r="F25" s="24"/>
      <c r="G25" s="24"/>
      <c r="H25" s="24"/>
      <c r="I25" s="24"/>
      <c r="J25" s="24"/>
      <c r="K25" s="29"/>
    </row>
    <row r="26" spans="1:12">
      <c r="A26" s="2" t="s">
        <v>260</v>
      </c>
      <c r="B26" s="110" t="s">
        <v>38</v>
      </c>
      <c r="C26" s="102" t="s">
        <v>266</v>
      </c>
      <c r="D26" s="138"/>
      <c r="E26" s="138"/>
      <c r="F26" s="102"/>
      <c r="G26" s="102"/>
      <c r="H26" s="102"/>
      <c r="L26" s="102" t="s">
        <v>283</v>
      </c>
    </row>
    <row r="27" spans="1:12">
      <c r="A27" s="2" t="s">
        <v>261</v>
      </c>
      <c r="C27" s="139" t="s">
        <v>284</v>
      </c>
      <c r="D27" s="140"/>
      <c r="E27" s="140"/>
      <c r="L27" s="3" t="s">
        <v>285</v>
      </c>
    </row>
    <row r="28" spans="1:12">
      <c r="C28" s="139" t="s">
        <v>286</v>
      </c>
      <c r="D28" s="139"/>
      <c r="L28" s="3" t="s">
        <v>287</v>
      </c>
    </row>
    <row r="29" spans="1:12">
      <c r="C29" s="139" t="s">
        <v>288</v>
      </c>
      <c r="D29" s="139"/>
      <c r="L29" s="3" t="s">
        <v>289</v>
      </c>
    </row>
    <row r="30" spans="1:12">
      <c r="C30" s="139" t="s">
        <v>290</v>
      </c>
      <c r="D30" s="139"/>
      <c r="L30" s="3" t="s">
        <v>291</v>
      </c>
    </row>
    <row r="31" spans="1:12">
      <c r="C31" s="3" t="s">
        <v>292</v>
      </c>
      <c r="L31" s="3" t="s">
        <v>289</v>
      </c>
    </row>
    <row r="32" spans="1:12">
      <c r="C32" s="3" t="s">
        <v>293</v>
      </c>
      <c r="E32" s="139"/>
      <c r="L32" s="3" t="s">
        <v>287</v>
      </c>
    </row>
    <row r="33" spans="2:17">
      <c r="B33" s="3" t="s">
        <v>40</v>
      </c>
      <c r="C33" s="3" t="s">
        <v>294</v>
      </c>
    </row>
    <row r="34" spans="2:17">
      <c r="C34" s="3" t="s">
        <v>295</v>
      </c>
    </row>
    <row r="35" spans="2:17">
      <c r="C35" s="139" t="s">
        <v>296</v>
      </c>
    </row>
    <row r="36" spans="2:17">
      <c r="C36" s="3" t="s">
        <v>297</v>
      </c>
    </row>
    <row r="37" spans="2:17">
      <c r="B37" s="3" t="s">
        <v>41</v>
      </c>
      <c r="C37" s="3" t="s">
        <v>298</v>
      </c>
    </row>
    <row r="38" spans="2:17">
      <c r="C38" s="3" t="s">
        <v>299</v>
      </c>
    </row>
    <row r="39" spans="2:17" ht="29.1" customHeight="1">
      <c r="D39" s="166" t="s">
        <v>300</v>
      </c>
      <c r="E39" s="166"/>
      <c r="F39" s="166"/>
      <c r="G39" s="166"/>
      <c r="H39" s="166"/>
      <c r="I39" s="166"/>
      <c r="J39" s="166"/>
      <c r="K39" s="166"/>
      <c r="L39" s="166"/>
      <c r="M39" s="166"/>
      <c r="N39" s="166"/>
      <c r="O39" s="166"/>
      <c r="P39" s="166"/>
      <c r="Q39" s="166"/>
    </row>
    <row r="40" spans="2:17">
      <c r="D40" s="3" t="s">
        <v>301</v>
      </c>
    </row>
    <row r="41" spans="2:17">
      <c r="D41" s="3" t="s">
        <v>302</v>
      </c>
    </row>
    <row r="42" spans="2:17">
      <c r="C42" s="3" t="s">
        <v>303</v>
      </c>
    </row>
    <row r="43" spans="2:17">
      <c r="D43" s="3" t="s">
        <v>304</v>
      </c>
    </row>
    <row r="44" spans="2:17">
      <c r="C44" s="139"/>
      <c r="D44" s="3" t="s">
        <v>305</v>
      </c>
    </row>
    <row r="45" spans="2:17">
      <c r="D45" s="3" t="s">
        <v>306</v>
      </c>
    </row>
    <row r="46" spans="2:17">
      <c r="C46" s="3" t="s">
        <v>307</v>
      </c>
    </row>
    <row r="47" spans="2:17">
      <c r="D47" s="3" t="s">
        <v>308</v>
      </c>
    </row>
    <row r="48" spans="2:17">
      <c r="D48" s="3" t="s">
        <v>309</v>
      </c>
    </row>
    <row r="49" spans="1:17">
      <c r="C49" s="3" t="s">
        <v>310</v>
      </c>
    </row>
    <row r="50" spans="1:17">
      <c r="D50" s="3" t="s">
        <v>311</v>
      </c>
    </row>
    <row r="51" spans="1:17" ht="27.95" customHeight="1">
      <c r="D51" s="166" t="s">
        <v>312</v>
      </c>
      <c r="E51" s="166"/>
      <c r="F51" s="166"/>
      <c r="G51" s="166"/>
      <c r="H51" s="166"/>
      <c r="I51" s="166"/>
      <c r="J51" s="166"/>
      <c r="K51" s="166"/>
      <c r="L51" s="166"/>
      <c r="M51" s="166"/>
      <c r="N51" s="166"/>
      <c r="O51" s="166"/>
      <c r="P51" s="166"/>
      <c r="Q51" s="166"/>
    </row>
    <row r="52" spans="1:17" ht="27.95" customHeight="1">
      <c r="D52" s="166" t="s">
        <v>313</v>
      </c>
      <c r="E52" s="166"/>
      <c r="F52" s="166"/>
      <c r="G52" s="166"/>
      <c r="H52" s="166"/>
      <c r="I52" s="166"/>
      <c r="J52" s="166"/>
      <c r="K52" s="166"/>
      <c r="L52" s="166"/>
      <c r="M52" s="166"/>
      <c r="N52" s="166"/>
      <c r="O52" s="166"/>
      <c r="P52" s="166"/>
      <c r="Q52" s="166"/>
    </row>
    <row r="53" spans="1:17">
      <c r="A53" s="2" t="s">
        <v>47</v>
      </c>
      <c r="B53" s="3" t="s">
        <v>38</v>
      </c>
      <c r="C53" s="115" t="s">
        <v>314</v>
      </c>
    </row>
    <row r="54" spans="1:17">
      <c r="B54" s="3" t="s">
        <v>40</v>
      </c>
      <c r="C54" s="17" t="s">
        <v>315</v>
      </c>
    </row>
    <row r="55" spans="1:17">
      <c r="B55" s="3" t="s">
        <v>41</v>
      </c>
      <c r="C55" s="17" t="s">
        <v>315</v>
      </c>
    </row>
    <row r="56" spans="1:17">
      <c r="A56" s="2" t="s">
        <v>117</v>
      </c>
      <c r="B56" s="3" t="s">
        <v>316</v>
      </c>
      <c r="C56" s="5"/>
    </row>
    <row r="57" spans="1:17">
      <c r="C57" s="5"/>
    </row>
    <row r="58" spans="1:17">
      <c r="C58" s="5"/>
    </row>
  </sheetData>
  <mergeCells count="4">
    <mergeCell ref="D39:Q39"/>
    <mergeCell ref="D51:Q51"/>
    <mergeCell ref="D52:Q52"/>
    <mergeCell ref="B6:Q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BD0D-E140-46A4-8B86-8F844861B0F7}">
  <dimension ref="A1:K40"/>
  <sheetViews>
    <sheetView zoomScaleNormal="100" workbookViewId="0"/>
  </sheetViews>
  <sheetFormatPr defaultColWidth="8.7109375" defaultRowHeight="14.45"/>
  <cols>
    <col min="1" max="1" width="24.85546875" style="3" customWidth="1"/>
    <col min="2" max="2" width="11.5703125" style="3" customWidth="1"/>
    <col min="3" max="3" width="45.7109375" style="3" customWidth="1"/>
    <col min="4" max="4" width="11.5703125" style="3" customWidth="1"/>
    <col min="5" max="5" width="14.7109375" style="3" customWidth="1"/>
    <col min="6" max="6" width="10" style="3" customWidth="1"/>
    <col min="7" max="7" width="14.85546875" style="3" customWidth="1"/>
    <col min="8" max="8" width="5.140625" style="3" customWidth="1"/>
    <col min="9" max="9" width="11.42578125" style="3" customWidth="1"/>
    <col min="10" max="10" width="5.85546875" style="3" customWidth="1"/>
    <col min="11" max="11" width="17.85546875" style="3" customWidth="1"/>
    <col min="12" max="16384" width="8.7109375" style="3"/>
  </cols>
  <sheetData>
    <row r="1" spans="1:11">
      <c r="A1" s="1" t="s">
        <v>17</v>
      </c>
      <c r="B1" s="3" t="s">
        <v>18</v>
      </c>
    </row>
    <row r="2" spans="1:11">
      <c r="A2" s="1" t="s">
        <v>19</v>
      </c>
      <c r="B2" s="3" t="s">
        <v>20</v>
      </c>
    </row>
    <row r="3" spans="1:11">
      <c r="A3" s="1" t="s">
        <v>21</v>
      </c>
      <c r="B3" s="3" t="s">
        <v>22</v>
      </c>
    </row>
    <row r="4" spans="1:11">
      <c r="A4" s="1" t="s">
        <v>23</v>
      </c>
      <c r="B4" s="3" t="s">
        <v>24</v>
      </c>
    </row>
    <row r="5" spans="1:11">
      <c r="A5" s="1" t="s">
        <v>25</v>
      </c>
      <c r="B5" s="3" t="s">
        <v>26</v>
      </c>
    </row>
    <row r="6" spans="1:11">
      <c r="A6" s="1" t="s">
        <v>27</v>
      </c>
      <c r="B6" s="3" t="s">
        <v>28</v>
      </c>
    </row>
    <row r="7" spans="1:11">
      <c r="A7" s="1" t="s">
        <v>29</v>
      </c>
      <c r="B7" s="3" t="s">
        <v>30</v>
      </c>
    </row>
    <row r="8" spans="1:11">
      <c r="A8" s="1" t="s">
        <v>31</v>
      </c>
      <c r="B8" s="3" t="s">
        <v>32</v>
      </c>
    </row>
    <row r="9" spans="1:11" ht="15" thickBot="1">
      <c r="A9" s="2" t="s">
        <v>33</v>
      </c>
      <c r="B9" s="3" t="s">
        <v>34</v>
      </c>
    </row>
    <row r="10" spans="1:11">
      <c r="B10" s="33" t="s">
        <v>0</v>
      </c>
      <c r="C10" s="22"/>
      <c r="D10" s="22"/>
      <c r="E10" s="34"/>
      <c r="F10" s="42"/>
      <c r="G10" s="42"/>
      <c r="H10" s="42"/>
      <c r="I10" s="42"/>
      <c r="J10" s="42"/>
      <c r="K10" s="42"/>
    </row>
    <row r="11" spans="1:11">
      <c r="B11" s="20"/>
      <c r="C11" s="16"/>
      <c r="D11" s="16"/>
      <c r="E11" s="21"/>
      <c r="F11" s="42"/>
      <c r="G11" s="42"/>
      <c r="H11" s="42"/>
      <c r="I11" s="42"/>
      <c r="J11" s="42"/>
      <c r="K11" s="42"/>
    </row>
    <row r="12" spans="1:11">
      <c r="B12" s="15"/>
      <c r="C12" s="38" t="s">
        <v>2</v>
      </c>
      <c r="D12" s="40">
        <v>850000</v>
      </c>
      <c r="E12" s="21"/>
      <c r="F12" s="42"/>
      <c r="G12" s="42"/>
      <c r="H12" s="42"/>
      <c r="I12" s="42"/>
      <c r="J12" s="42"/>
      <c r="K12" s="42"/>
    </row>
    <row r="13" spans="1:11">
      <c r="B13" s="15"/>
      <c r="C13" s="38" t="s">
        <v>3</v>
      </c>
      <c r="D13" s="40">
        <v>200000</v>
      </c>
      <c r="E13" s="21"/>
      <c r="F13" s="43"/>
      <c r="G13" s="43"/>
      <c r="H13" s="43"/>
      <c r="I13" s="43"/>
      <c r="J13" s="43"/>
      <c r="K13" s="43"/>
    </row>
    <row r="14" spans="1:11">
      <c r="B14" s="15"/>
      <c r="C14" s="38" t="s">
        <v>4</v>
      </c>
      <c r="D14" s="40">
        <v>400000</v>
      </c>
      <c r="E14" s="21"/>
      <c r="F14" s="44"/>
      <c r="G14" s="44"/>
      <c r="H14" s="44"/>
      <c r="I14" s="44"/>
      <c r="J14" s="44"/>
      <c r="K14" s="43"/>
    </row>
    <row r="15" spans="1:11">
      <c r="B15" s="15"/>
      <c r="C15" s="38" t="s">
        <v>5</v>
      </c>
      <c r="D15" s="40">
        <v>600000</v>
      </c>
      <c r="E15" s="21"/>
      <c r="F15" s="43"/>
      <c r="G15" s="43"/>
      <c r="H15" s="43"/>
      <c r="I15" s="43"/>
      <c r="J15" s="43"/>
      <c r="K15" s="43"/>
    </row>
    <row r="16" spans="1:11">
      <c r="B16" s="20"/>
      <c r="C16" s="16"/>
      <c r="D16" s="16"/>
      <c r="E16" s="21"/>
      <c r="F16" s="43"/>
      <c r="G16" s="43"/>
      <c r="H16" s="43"/>
      <c r="I16" s="43"/>
      <c r="J16" s="43"/>
      <c r="K16" s="43"/>
    </row>
    <row r="17" spans="1:11">
      <c r="B17" s="41"/>
      <c r="C17" s="31" t="s">
        <v>6</v>
      </c>
      <c r="D17" s="16"/>
      <c r="E17" s="21"/>
      <c r="F17" s="43"/>
      <c r="G17" s="43"/>
      <c r="H17" s="43"/>
      <c r="I17" s="43"/>
      <c r="J17" s="43"/>
      <c r="K17" s="43"/>
    </row>
    <row r="18" spans="1:11">
      <c r="B18" s="20"/>
      <c r="C18" s="16"/>
      <c r="D18" s="16"/>
      <c r="E18" s="21"/>
      <c r="F18" s="45"/>
      <c r="G18" s="45"/>
      <c r="H18" s="45"/>
      <c r="I18" s="43"/>
      <c r="J18" s="43"/>
      <c r="K18" s="43"/>
    </row>
    <row r="19" spans="1:11">
      <c r="B19" s="20" t="s">
        <v>7</v>
      </c>
      <c r="C19" s="31" t="s">
        <v>8</v>
      </c>
      <c r="D19" s="16"/>
      <c r="E19" s="21"/>
      <c r="F19" s="43"/>
      <c r="G19" s="43"/>
      <c r="H19" s="43"/>
      <c r="I19" s="43"/>
      <c r="J19" s="43"/>
      <c r="K19" s="43"/>
    </row>
    <row r="20" spans="1:11">
      <c r="B20" s="20" t="s">
        <v>9</v>
      </c>
      <c r="C20" s="31" t="s">
        <v>10</v>
      </c>
      <c r="D20" s="16"/>
      <c r="E20" s="21"/>
      <c r="F20" s="43"/>
      <c r="G20" s="43"/>
      <c r="H20" s="43"/>
      <c r="I20" s="43"/>
      <c r="J20" s="43"/>
      <c r="K20" s="43"/>
    </row>
    <row r="21" spans="1:11" ht="15" thickBot="1">
      <c r="B21" s="35" t="s">
        <v>11</v>
      </c>
      <c r="C21" s="36" t="s">
        <v>12</v>
      </c>
      <c r="D21" s="26"/>
      <c r="E21" s="37"/>
      <c r="F21" s="43"/>
      <c r="G21" s="43"/>
      <c r="H21" s="43"/>
      <c r="I21" s="43"/>
      <c r="J21" s="43"/>
      <c r="K21" s="43"/>
    </row>
    <row r="22" spans="1:11" ht="15" thickBot="1">
      <c r="B22" s="30" t="s">
        <v>13</v>
      </c>
      <c r="C22" s="16"/>
      <c r="D22" s="16"/>
      <c r="E22" s="32"/>
      <c r="F22" s="43"/>
      <c r="G22" s="43"/>
      <c r="H22" s="43"/>
      <c r="I22" s="43"/>
      <c r="J22" s="43"/>
      <c r="K22" s="43"/>
    </row>
    <row r="23" spans="1:11" ht="15" thickBot="1">
      <c r="B23" s="23" t="s">
        <v>14</v>
      </c>
      <c r="C23" s="24"/>
      <c r="D23" s="24"/>
      <c r="E23" s="18"/>
      <c r="F23" s="43"/>
      <c r="G23" s="43"/>
      <c r="H23" s="43"/>
      <c r="I23" s="43"/>
      <c r="J23" s="43"/>
      <c r="K23" s="43"/>
    </row>
    <row r="24" spans="1:11" ht="15" thickBot="1">
      <c r="B24" s="25" t="s">
        <v>15</v>
      </c>
      <c r="C24" s="26"/>
      <c r="D24" s="26"/>
      <c r="E24" s="19"/>
      <c r="F24" s="43"/>
      <c r="G24" s="43"/>
      <c r="H24" s="43"/>
      <c r="I24" s="43"/>
      <c r="J24" s="43"/>
      <c r="K24" s="43"/>
    </row>
    <row r="25" spans="1:11" ht="15" thickBot="1">
      <c r="B25" s="27" t="s">
        <v>16</v>
      </c>
      <c r="C25" s="28"/>
      <c r="D25" s="24"/>
      <c r="E25" s="29"/>
      <c r="F25" s="43"/>
      <c r="G25" s="43"/>
      <c r="H25" s="43"/>
      <c r="I25" s="43"/>
      <c r="J25" s="43"/>
      <c r="K25" s="43"/>
    </row>
    <row r="26" spans="1:11" ht="30.75">
      <c r="A26" s="154" t="s">
        <v>35</v>
      </c>
      <c r="B26" s="17"/>
      <c r="G26" s="3" t="s">
        <v>36</v>
      </c>
      <c r="I26" s="3" t="s">
        <v>37</v>
      </c>
    </row>
    <row r="27" spans="1:11">
      <c r="A27" s="2"/>
      <c r="B27" s="17" t="s">
        <v>38</v>
      </c>
      <c r="C27" s="111" t="s">
        <v>39</v>
      </c>
      <c r="D27" s="112">
        <f>+D12+D13</f>
        <v>1050000</v>
      </c>
      <c r="F27" s="112">
        <f>MEDIAN(0,D27-$D$14,$D$15)</f>
        <v>600000</v>
      </c>
      <c r="G27" s="113">
        <f>IF(F27&gt;$D$15,$D$15,F27)</f>
        <v>600000</v>
      </c>
      <c r="I27" s="112">
        <f>IF(F27&lt;$D$15,0,+D27-$D$14-$D$15)</f>
        <v>50000</v>
      </c>
    </row>
    <row r="28" spans="1:11">
      <c r="B28" s="17" t="s">
        <v>40</v>
      </c>
      <c r="C28" s="111" t="s">
        <v>39</v>
      </c>
      <c r="D28" s="112">
        <f>+D12</f>
        <v>850000</v>
      </c>
      <c r="F28" s="112">
        <f>MEDIAN(0,D28-$D$14,$D$15)</f>
        <v>450000</v>
      </c>
      <c r="G28" s="113">
        <f>IF(F28&gt;$D$15,$D$15,F28)</f>
        <v>450000</v>
      </c>
      <c r="I28" s="112">
        <f>IF(F28&lt;$D$15,0,+D28-$D$14-$D$15)</f>
        <v>0</v>
      </c>
    </row>
    <row r="29" spans="1:11">
      <c r="B29" s="17" t="s">
        <v>41</v>
      </c>
      <c r="D29" s="112"/>
      <c r="F29" s="112">
        <f>+E33</f>
        <v>555882.3529411765</v>
      </c>
      <c r="G29" s="113">
        <f>IF(F29&gt;$D$15,$D$15,F29)</f>
        <v>555882.3529411765</v>
      </c>
      <c r="I29" s="112">
        <f>IF(F29&lt;$D$15,0,+E32+E33-$D$14-$D$15)</f>
        <v>0</v>
      </c>
    </row>
    <row r="30" spans="1:11">
      <c r="B30" s="17"/>
    </row>
    <row r="31" spans="1:11">
      <c r="B31" s="17"/>
      <c r="C31" s="111" t="s">
        <v>42</v>
      </c>
      <c r="D31" s="111" t="s">
        <v>43</v>
      </c>
      <c r="E31" s="111" t="s">
        <v>44</v>
      </c>
    </row>
    <row r="32" spans="1:11">
      <c r="B32" s="17" t="s">
        <v>45</v>
      </c>
      <c r="C32" s="112">
        <f>IF(D12&gt;D14,D14,D12)</f>
        <v>400000</v>
      </c>
      <c r="D32" s="112">
        <f>+$D$13*C32/$D$12</f>
        <v>94117.647058823524</v>
      </c>
      <c r="E32" s="112">
        <f>+C32+D32</f>
        <v>494117.6470588235</v>
      </c>
    </row>
    <row r="33" spans="1:11">
      <c r="B33" s="17" t="s">
        <v>46</v>
      </c>
      <c r="C33" s="112">
        <f>MEDIAN(0,D15,D12-D14)</f>
        <v>450000</v>
      </c>
      <c r="D33" s="112">
        <f>+$D$13*C33/$D$12</f>
        <v>105882.35294117648</v>
      </c>
      <c r="E33" s="112">
        <f t="shared" ref="E33:E34" si="0">+C33+D33</f>
        <v>555882.3529411765</v>
      </c>
    </row>
    <row r="34" spans="1:11">
      <c r="B34" s="17" t="s">
        <v>37</v>
      </c>
      <c r="C34" s="112">
        <f>MAX(0,D12-D14-D15)</f>
        <v>0</v>
      </c>
      <c r="D34" s="112">
        <f>+$D$13*C34/$D$12</f>
        <v>0</v>
      </c>
      <c r="E34" s="112">
        <f t="shared" si="0"/>
        <v>0</v>
      </c>
    </row>
    <row r="35" spans="1:11">
      <c r="A35" s="2" t="s">
        <v>47</v>
      </c>
      <c r="B35" s="3" t="s">
        <v>38</v>
      </c>
      <c r="C35" s="3" t="s">
        <v>48</v>
      </c>
      <c r="F35" s="17">
        <v>0.25</v>
      </c>
    </row>
    <row r="36" spans="1:11">
      <c r="B36" s="3" t="s">
        <v>40</v>
      </c>
      <c r="C36" s="3" t="s">
        <v>48</v>
      </c>
      <c r="E36" s="17"/>
      <c r="F36" s="17">
        <v>0.25</v>
      </c>
      <c r="G36" s="17"/>
      <c r="H36" s="17"/>
      <c r="I36" s="17"/>
      <c r="K36" s="17"/>
    </row>
    <row r="37" spans="1:11">
      <c r="B37" s="17" t="s">
        <v>41</v>
      </c>
      <c r="C37" s="3" t="s">
        <v>49</v>
      </c>
      <c r="E37" s="17"/>
      <c r="F37" s="17">
        <v>0.25</v>
      </c>
      <c r="G37" s="17"/>
      <c r="H37" s="17"/>
      <c r="I37" s="17"/>
      <c r="K37" s="17"/>
    </row>
    <row r="38" spans="1:11">
      <c r="C38" s="3" t="s">
        <v>50</v>
      </c>
      <c r="F38" s="17">
        <v>0.25</v>
      </c>
    </row>
    <row r="39" spans="1:11">
      <c r="C39" s="3" t="s">
        <v>51</v>
      </c>
      <c r="F39" s="17">
        <v>0.25</v>
      </c>
    </row>
    <row r="40" spans="1:11">
      <c r="A40" s="2" t="s">
        <v>52</v>
      </c>
      <c r="B40" s="3"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277F-44B0-4746-B06C-986F6FC27F27}">
  <dimension ref="A1:I44"/>
  <sheetViews>
    <sheetView zoomScaleNormal="100" workbookViewId="0"/>
  </sheetViews>
  <sheetFormatPr defaultColWidth="12.5703125" defaultRowHeight="14.45"/>
  <cols>
    <col min="1" max="1" width="12.5703125" style="3"/>
    <col min="2" max="9" width="13" style="3" customWidth="1"/>
    <col min="10" max="16384" width="12.5703125" style="3"/>
  </cols>
  <sheetData>
    <row r="1" spans="1:9">
      <c r="A1" s="39" t="s">
        <v>54</v>
      </c>
      <c r="B1" s="46"/>
      <c r="C1" s="46"/>
      <c r="D1" s="46"/>
      <c r="E1" s="46"/>
      <c r="F1" s="46"/>
      <c r="G1" s="46"/>
      <c r="H1" s="46"/>
      <c r="I1" s="47"/>
    </row>
    <row r="2" spans="1:9">
      <c r="A2" s="15"/>
      <c r="C2" s="39"/>
      <c r="D2" s="39"/>
      <c r="E2" s="39"/>
      <c r="F2" s="39"/>
      <c r="G2" s="39"/>
      <c r="H2" s="39"/>
      <c r="I2" s="48"/>
    </row>
    <row r="3" spans="1:9">
      <c r="A3" s="15"/>
      <c r="B3" s="39" t="s">
        <v>55</v>
      </c>
      <c r="C3" s="39"/>
      <c r="D3" s="39"/>
      <c r="E3" s="39"/>
      <c r="F3" s="39"/>
      <c r="G3" s="39"/>
      <c r="H3" s="39"/>
      <c r="I3" s="48"/>
    </row>
    <row r="4" spans="1:9">
      <c r="A4" s="15"/>
      <c r="B4" s="39"/>
      <c r="C4" s="39"/>
      <c r="D4" s="39"/>
      <c r="E4" s="39"/>
      <c r="F4" s="39"/>
      <c r="G4" s="39"/>
      <c r="H4" s="39"/>
      <c r="I4" s="48"/>
    </row>
    <row r="5" spans="1:9">
      <c r="A5" s="15"/>
      <c r="B5" s="39"/>
      <c r="C5" s="155" t="s">
        <v>56</v>
      </c>
      <c r="D5" s="49" t="s">
        <v>57</v>
      </c>
      <c r="E5" s="158" t="s">
        <v>58</v>
      </c>
      <c r="F5" s="39"/>
      <c r="G5" s="39"/>
      <c r="H5" s="39"/>
      <c r="I5" s="48"/>
    </row>
    <row r="6" spans="1:9">
      <c r="A6" s="15"/>
      <c r="B6" s="39"/>
      <c r="C6" s="156"/>
      <c r="D6" s="50" t="s">
        <v>59</v>
      </c>
      <c r="E6" s="159"/>
      <c r="F6" s="39"/>
      <c r="G6" s="39"/>
      <c r="H6" s="39"/>
      <c r="I6" s="48"/>
    </row>
    <row r="7" spans="1:9">
      <c r="A7" s="15"/>
      <c r="B7" s="39"/>
      <c r="C7" s="157"/>
      <c r="D7" s="51" t="s">
        <v>60</v>
      </c>
      <c r="E7" s="160"/>
      <c r="F7" s="39"/>
      <c r="G7" s="39"/>
      <c r="H7" s="39"/>
      <c r="I7" s="48"/>
    </row>
    <row r="8" spans="1:9">
      <c r="A8" s="15"/>
      <c r="B8" s="39"/>
      <c r="C8" s="52">
        <v>1</v>
      </c>
      <c r="D8" s="53">
        <v>6.2799999999999995E-2</v>
      </c>
      <c r="E8" s="54">
        <v>12000000</v>
      </c>
      <c r="F8" s="39"/>
      <c r="G8" s="39"/>
      <c r="H8" s="39"/>
      <c r="I8" s="48"/>
    </row>
    <row r="9" spans="1:9">
      <c r="A9" s="15"/>
      <c r="B9" s="39"/>
      <c r="C9" s="52">
        <v>2</v>
      </c>
      <c r="D9" s="55">
        <v>2E-3</v>
      </c>
      <c r="E9" s="54">
        <v>21000000</v>
      </c>
      <c r="F9" s="39"/>
      <c r="G9" s="39"/>
      <c r="H9" s="39"/>
      <c r="I9" s="48"/>
    </row>
    <row r="10" spans="1:9">
      <c r="A10" s="15"/>
      <c r="B10" s="39"/>
      <c r="C10" s="52">
        <v>3</v>
      </c>
      <c r="D10" s="55">
        <v>1.4E-2</v>
      </c>
      <c r="E10" s="54">
        <v>18000000</v>
      </c>
      <c r="F10" s="39"/>
      <c r="G10" s="39"/>
      <c r="H10" s="39"/>
      <c r="I10" s="48"/>
    </row>
    <row r="11" spans="1:9">
      <c r="A11" s="15"/>
      <c r="B11" s="39"/>
      <c r="C11" s="52">
        <v>4</v>
      </c>
      <c r="D11" s="55">
        <v>2.6800000000000001E-2</v>
      </c>
      <c r="E11" s="54">
        <v>15000000</v>
      </c>
      <c r="F11" s="39"/>
      <c r="G11" s="39"/>
      <c r="H11" s="39"/>
      <c r="I11" s="48"/>
    </row>
    <row r="12" spans="1:9">
      <c r="A12" s="15"/>
      <c r="B12" s="39"/>
      <c r="C12" s="56">
        <v>5</v>
      </c>
      <c r="D12" s="53">
        <v>4.4670000000000001E-2</v>
      </c>
      <c r="E12" s="57">
        <v>13000000</v>
      </c>
      <c r="F12" s="39"/>
      <c r="G12" s="39"/>
      <c r="H12" s="39"/>
      <c r="I12" s="48"/>
    </row>
    <row r="13" spans="1:9">
      <c r="A13" s="15"/>
      <c r="B13" s="39"/>
      <c r="C13" s="52">
        <v>6</v>
      </c>
      <c r="D13" s="55">
        <v>9.1999999999999998E-2</v>
      </c>
      <c r="E13" s="54">
        <v>10000000</v>
      </c>
      <c r="F13" s="39"/>
      <c r="G13" s="39"/>
      <c r="H13" s="39"/>
      <c r="I13" s="48"/>
    </row>
    <row r="14" spans="1:9">
      <c r="A14" s="15"/>
      <c r="B14" s="39"/>
      <c r="C14" s="52">
        <v>7</v>
      </c>
      <c r="D14" s="55">
        <v>7.1999999999999998E-3</v>
      </c>
      <c r="E14" s="54">
        <v>19000000</v>
      </c>
      <c r="F14" s="39"/>
      <c r="G14" s="39"/>
      <c r="H14" s="39"/>
      <c r="I14" s="48"/>
    </row>
    <row r="15" spans="1:9">
      <c r="A15" s="15"/>
      <c r="B15" s="39"/>
      <c r="C15" s="52">
        <v>8</v>
      </c>
      <c r="D15" s="55">
        <v>1.7600000000000001E-2</v>
      </c>
      <c r="E15" s="54">
        <v>17000000</v>
      </c>
      <c r="F15" s="39"/>
      <c r="G15" s="39"/>
      <c r="H15" s="39"/>
      <c r="I15" s="48"/>
    </row>
    <row r="16" spans="1:9">
      <c r="A16" s="15"/>
      <c r="B16" s="39"/>
      <c r="C16" s="52">
        <v>9</v>
      </c>
      <c r="D16" s="55">
        <v>4.0000000000000001E-3</v>
      </c>
      <c r="E16" s="54">
        <v>20000000</v>
      </c>
      <c r="F16" s="39"/>
      <c r="G16" s="39"/>
      <c r="H16" s="39"/>
      <c r="I16" s="48"/>
    </row>
    <row r="17" spans="1:9">
      <c r="A17" s="15"/>
      <c r="B17" s="39"/>
      <c r="C17" s="52">
        <v>10</v>
      </c>
      <c r="D17" s="55">
        <v>0.2</v>
      </c>
      <c r="E17" s="54">
        <v>7000000</v>
      </c>
      <c r="F17" s="39"/>
      <c r="G17" s="39"/>
      <c r="H17" s="39"/>
      <c r="I17" s="48"/>
    </row>
    <row r="18" spans="1:9">
      <c r="A18" s="15"/>
      <c r="B18" s="39"/>
      <c r="C18" s="52">
        <v>11</v>
      </c>
      <c r="D18" s="55">
        <v>7.5999999999999998E-2</v>
      </c>
      <c r="E18" s="54">
        <v>11000000</v>
      </c>
      <c r="F18" s="39"/>
      <c r="G18" s="39"/>
      <c r="H18" s="39"/>
      <c r="I18" s="48"/>
    </row>
    <row r="19" spans="1:9">
      <c r="A19" s="15"/>
      <c r="B19" s="39"/>
      <c r="C19" s="52">
        <v>12</v>
      </c>
      <c r="D19" s="55">
        <v>0.14280000000000001</v>
      </c>
      <c r="E19" s="54">
        <v>9000000</v>
      </c>
      <c r="F19" s="39"/>
      <c r="G19" s="39"/>
      <c r="H19" s="39"/>
      <c r="I19" s="48"/>
    </row>
    <row r="20" spans="1:9">
      <c r="A20" s="15"/>
      <c r="B20" s="39"/>
      <c r="C20" s="52">
        <v>13</v>
      </c>
      <c r="D20" s="55">
        <v>0.23569999999999999</v>
      </c>
      <c r="E20" s="54">
        <v>1000000</v>
      </c>
      <c r="F20" s="39"/>
      <c r="G20" s="39"/>
      <c r="H20" s="39"/>
      <c r="I20" s="48"/>
    </row>
    <row r="21" spans="1:9">
      <c r="A21" s="15"/>
      <c r="B21" s="39"/>
      <c r="C21" s="39"/>
      <c r="D21" s="39"/>
      <c r="E21" s="39"/>
      <c r="F21" s="39"/>
      <c r="G21" s="39"/>
      <c r="H21" s="39"/>
      <c r="I21" s="48"/>
    </row>
    <row r="22" spans="1:9">
      <c r="A22" s="15" t="s">
        <v>61</v>
      </c>
      <c r="B22" s="39" t="s">
        <v>62</v>
      </c>
      <c r="C22" s="39"/>
      <c r="D22" s="39"/>
      <c r="E22" s="39"/>
      <c r="F22" s="39"/>
      <c r="G22" s="39"/>
      <c r="H22" s="39"/>
      <c r="I22" s="48"/>
    </row>
    <row r="23" spans="1:9">
      <c r="A23" s="15" t="s">
        <v>63</v>
      </c>
      <c r="B23" s="39" t="s">
        <v>64</v>
      </c>
      <c r="C23" s="39"/>
      <c r="D23" s="39"/>
      <c r="E23" s="39"/>
      <c r="F23" s="39"/>
      <c r="G23" s="39"/>
      <c r="H23" s="58"/>
      <c r="I23" s="48"/>
    </row>
    <row r="24" spans="1:9">
      <c r="A24" s="59" t="s">
        <v>11</v>
      </c>
      <c r="B24" s="39" t="s">
        <v>65</v>
      </c>
      <c r="C24" s="39"/>
      <c r="D24" s="39"/>
      <c r="E24" s="39"/>
      <c r="F24" s="39"/>
      <c r="G24" s="39"/>
      <c r="H24" s="39"/>
      <c r="I24" s="48"/>
    </row>
    <row r="25" spans="1:9">
      <c r="A25" s="59"/>
      <c r="B25" s="39" t="s">
        <v>66</v>
      </c>
      <c r="C25" s="39"/>
      <c r="D25" s="39"/>
      <c r="E25" s="39"/>
      <c r="F25" s="39"/>
      <c r="G25" s="39"/>
      <c r="H25" s="39"/>
      <c r="I25" s="48"/>
    </row>
    <row r="26" spans="1:9">
      <c r="A26" s="59" t="s">
        <v>67</v>
      </c>
      <c r="B26" s="39" t="s">
        <v>68</v>
      </c>
      <c r="C26" s="39"/>
      <c r="D26" s="39"/>
      <c r="E26" s="39"/>
      <c r="F26" s="39"/>
      <c r="G26" s="39"/>
      <c r="H26" s="39"/>
      <c r="I26" s="48"/>
    </row>
    <row r="27" spans="1:9">
      <c r="A27" s="15"/>
      <c r="B27" s="39" t="s">
        <v>69</v>
      </c>
      <c r="C27" s="39"/>
      <c r="D27" s="39"/>
      <c r="E27" s="39"/>
      <c r="F27" s="39"/>
      <c r="G27" s="39"/>
      <c r="H27" s="39"/>
      <c r="I27" s="48"/>
    </row>
    <row r="28" spans="1:9">
      <c r="A28" s="15"/>
      <c r="B28" s="39" t="s">
        <v>70</v>
      </c>
      <c r="C28" s="39"/>
      <c r="D28" s="39"/>
      <c r="E28" s="39"/>
      <c r="F28" s="39"/>
      <c r="G28" s="39"/>
      <c r="H28" s="39"/>
      <c r="I28" s="48"/>
    </row>
    <row r="29" spans="1:9">
      <c r="A29" s="15"/>
      <c r="B29" s="39"/>
      <c r="C29" s="39"/>
      <c r="D29" s="39"/>
      <c r="E29" s="39"/>
      <c r="F29" s="39"/>
      <c r="G29" s="39"/>
      <c r="H29" s="39"/>
      <c r="I29" s="48"/>
    </row>
    <row r="30" spans="1:9">
      <c r="A30" s="15"/>
      <c r="B30" s="39" t="s">
        <v>71</v>
      </c>
      <c r="C30" s="39"/>
      <c r="D30" s="39"/>
      <c r="E30" s="39"/>
      <c r="F30" s="39"/>
      <c r="G30" s="39"/>
      <c r="H30" s="39"/>
      <c r="I30" s="48"/>
    </row>
    <row r="31" spans="1:9">
      <c r="A31" s="15"/>
      <c r="B31" s="39" t="s">
        <v>72</v>
      </c>
      <c r="C31" s="39"/>
      <c r="D31" s="39"/>
      <c r="E31" s="39"/>
      <c r="F31" s="39"/>
      <c r="G31" s="39"/>
      <c r="H31" s="39"/>
      <c r="I31" s="48"/>
    </row>
    <row r="32" spans="1:9">
      <c r="A32" s="15"/>
      <c r="B32" s="39"/>
      <c r="C32" s="60"/>
      <c r="D32" s="60"/>
      <c r="E32" s="161" t="s">
        <v>73</v>
      </c>
      <c r="F32" s="161"/>
      <c r="G32" s="161"/>
      <c r="H32" s="39"/>
      <c r="I32" s="48"/>
    </row>
    <row r="33" spans="1:9">
      <c r="A33" s="15"/>
      <c r="B33" s="39"/>
      <c r="C33" s="158" t="s">
        <v>74</v>
      </c>
      <c r="D33" s="49" t="s">
        <v>75</v>
      </c>
      <c r="E33" s="158" t="s">
        <v>76</v>
      </c>
      <c r="F33" s="158" t="s">
        <v>77</v>
      </c>
      <c r="G33" s="158" t="s">
        <v>78</v>
      </c>
      <c r="H33" s="39"/>
      <c r="I33" s="48"/>
    </row>
    <row r="34" spans="1:9">
      <c r="A34" s="15"/>
      <c r="B34" s="39"/>
      <c r="C34" s="159"/>
      <c r="D34" s="50" t="s">
        <v>79</v>
      </c>
      <c r="E34" s="159"/>
      <c r="F34" s="159"/>
      <c r="G34" s="159"/>
      <c r="H34" s="39"/>
      <c r="I34" s="48"/>
    </row>
    <row r="35" spans="1:9">
      <c r="A35" s="15"/>
      <c r="B35" s="39"/>
      <c r="C35" s="160"/>
      <c r="D35" s="51" t="s">
        <v>80</v>
      </c>
      <c r="E35" s="160"/>
      <c r="F35" s="160"/>
      <c r="G35" s="160"/>
      <c r="H35" s="39"/>
      <c r="I35" s="48"/>
    </row>
    <row r="36" spans="1:9">
      <c r="A36" s="15"/>
      <c r="B36" s="39"/>
      <c r="C36" s="52">
        <v>1</v>
      </c>
      <c r="D36" s="57">
        <v>38000000</v>
      </c>
      <c r="E36" s="54">
        <v>15000000</v>
      </c>
      <c r="F36" s="54">
        <v>2959530</v>
      </c>
      <c r="G36" s="54">
        <v>3355440.396676681</v>
      </c>
      <c r="H36" s="39"/>
      <c r="I36" s="48"/>
    </row>
    <row r="37" spans="1:9">
      <c r="A37" s="15"/>
      <c r="B37" s="39"/>
      <c r="C37" s="52">
        <v>2</v>
      </c>
      <c r="D37" s="54">
        <v>28000000</v>
      </c>
      <c r="E37" s="54">
        <v>14000000</v>
      </c>
      <c r="F37" s="54">
        <v>3234528</v>
      </c>
      <c r="G37" s="54">
        <v>4049438.396676681</v>
      </c>
      <c r="H37" s="39"/>
      <c r="I37" s="48"/>
    </row>
    <row r="38" spans="1:9">
      <c r="A38" s="15"/>
      <c r="B38" s="39"/>
      <c r="C38" s="52">
        <v>3</v>
      </c>
      <c r="D38" s="54">
        <v>25000000</v>
      </c>
      <c r="E38" s="54">
        <v>12500000</v>
      </c>
      <c r="F38" s="54">
        <v>5348230</v>
      </c>
      <c r="G38" s="54">
        <v>6163140.396676681</v>
      </c>
      <c r="H38" s="39"/>
      <c r="I38" s="48"/>
    </row>
    <row r="39" spans="1:9">
      <c r="A39" s="15"/>
      <c r="B39" s="39"/>
      <c r="C39" s="52">
        <v>4</v>
      </c>
      <c r="D39" s="54">
        <v>23000000</v>
      </c>
      <c r="E39" s="54">
        <v>11300000</v>
      </c>
      <c r="F39" s="54">
        <v>7644380</v>
      </c>
      <c r="G39" s="54">
        <v>10236231.234353367</v>
      </c>
      <c r="H39" s="39"/>
      <c r="I39" s="48"/>
    </row>
    <row r="40" spans="1:9">
      <c r="A40" s="15"/>
      <c r="B40" s="39"/>
      <c r="C40" s="52">
        <v>5</v>
      </c>
      <c r="D40" s="54">
        <v>15000000</v>
      </c>
      <c r="E40" s="54">
        <v>10300000</v>
      </c>
      <c r="F40" s="54">
        <v>7982405</v>
      </c>
      <c r="G40" s="54">
        <v>10086910.39667668</v>
      </c>
      <c r="H40" s="39"/>
      <c r="I40" s="48"/>
    </row>
    <row r="41" spans="1:9">
      <c r="A41" s="15"/>
      <c r="B41" s="39"/>
      <c r="C41" s="52">
        <v>6</v>
      </c>
      <c r="D41" s="54">
        <v>13000000</v>
      </c>
      <c r="E41" s="54">
        <v>9300000</v>
      </c>
      <c r="F41" s="54">
        <v>8357291</v>
      </c>
      <c r="G41" s="54">
        <v>9752692.3966766801</v>
      </c>
      <c r="H41" s="39"/>
      <c r="I41" s="48"/>
    </row>
    <row r="42" spans="1:9">
      <c r="A42" s="15"/>
      <c r="B42" s="39"/>
      <c r="C42" s="52">
        <v>7</v>
      </c>
      <c r="D42" s="54">
        <v>10000000</v>
      </c>
      <c r="E42" s="54">
        <v>9000000</v>
      </c>
      <c r="F42" s="54">
        <v>8934193</v>
      </c>
      <c r="G42" s="54">
        <v>8659290.3966766801</v>
      </c>
      <c r="H42" s="39"/>
      <c r="I42" s="48"/>
    </row>
    <row r="43" spans="1:9" ht="15" thickBot="1">
      <c r="A43" s="61"/>
      <c r="B43" s="62"/>
      <c r="C43" s="62"/>
      <c r="D43" s="62"/>
      <c r="E43" s="62"/>
      <c r="F43" s="62"/>
      <c r="G43" s="62"/>
      <c r="H43" s="62"/>
      <c r="I43" s="63"/>
    </row>
    <row r="44" spans="1:9" ht="15" thickBot="1">
      <c r="A44" s="64" t="s">
        <v>81</v>
      </c>
      <c r="B44" s="65"/>
      <c r="C44" s="65"/>
      <c r="D44" s="65"/>
      <c r="E44" s="65"/>
      <c r="F44" s="65"/>
      <c r="G44" s="65"/>
      <c r="H44" s="65"/>
      <c r="I44" s="66"/>
    </row>
  </sheetData>
  <mergeCells count="7">
    <mergeCell ref="C5:C7"/>
    <mergeCell ref="E5:E7"/>
    <mergeCell ref="E32:G32"/>
    <mergeCell ref="C33:C35"/>
    <mergeCell ref="E33:E35"/>
    <mergeCell ref="F33:F35"/>
    <mergeCell ref="G33:G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1569E-E653-4608-9B43-B2FF462A6AD6}">
  <dimension ref="A1:N93"/>
  <sheetViews>
    <sheetView zoomScaleNormal="100" workbookViewId="0"/>
  </sheetViews>
  <sheetFormatPr defaultColWidth="8.7109375" defaultRowHeight="14.45"/>
  <cols>
    <col min="1" max="1" width="24.85546875" style="3" customWidth="1"/>
    <col min="2" max="2" width="11.5703125" style="3" customWidth="1"/>
    <col min="3" max="10" width="13" style="3" customWidth="1"/>
    <col min="11" max="16384" width="8.7109375" style="3"/>
  </cols>
  <sheetData>
    <row r="1" spans="1:10">
      <c r="A1" s="1" t="s">
        <v>17</v>
      </c>
      <c r="B1" s="3" t="s">
        <v>82</v>
      </c>
    </row>
    <row r="2" spans="1:10">
      <c r="A2" s="1" t="s">
        <v>19</v>
      </c>
      <c r="B2" s="3" t="s">
        <v>20</v>
      </c>
    </row>
    <row r="3" spans="1:10">
      <c r="A3" s="1" t="s">
        <v>21</v>
      </c>
      <c r="B3" s="3" t="s">
        <v>22</v>
      </c>
    </row>
    <row r="4" spans="1:10">
      <c r="A4" s="1" t="s">
        <v>23</v>
      </c>
      <c r="B4" s="3" t="s">
        <v>24</v>
      </c>
    </row>
    <row r="5" spans="1:10">
      <c r="A5" s="1" t="s">
        <v>25</v>
      </c>
      <c r="B5" s="3" t="s">
        <v>83</v>
      </c>
    </row>
    <row r="6" spans="1:10">
      <c r="A6" s="1" t="s">
        <v>27</v>
      </c>
      <c r="B6" s="3" t="s">
        <v>84</v>
      </c>
    </row>
    <row r="7" spans="1:10">
      <c r="A7" s="1" t="s">
        <v>29</v>
      </c>
      <c r="B7" s="3" t="s">
        <v>30</v>
      </c>
    </row>
    <row r="8" spans="1:10">
      <c r="A8" s="1" t="s">
        <v>31</v>
      </c>
      <c r="B8" s="3" t="s">
        <v>32</v>
      </c>
    </row>
    <row r="9" spans="1:10" ht="15" thickBot="1">
      <c r="A9" s="2" t="s">
        <v>33</v>
      </c>
      <c r="B9" s="3" t="s">
        <v>85</v>
      </c>
    </row>
    <row r="10" spans="1:10">
      <c r="B10" s="67" t="s">
        <v>54</v>
      </c>
      <c r="C10" s="46"/>
      <c r="D10" s="46"/>
      <c r="E10" s="46"/>
      <c r="F10" s="46"/>
      <c r="G10" s="46"/>
      <c r="H10" s="46"/>
      <c r="I10" s="46"/>
      <c r="J10" s="47"/>
    </row>
    <row r="11" spans="1:10">
      <c r="B11" s="15"/>
      <c r="D11" s="39"/>
      <c r="E11" s="39"/>
      <c r="F11" s="39"/>
      <c r="G11" s="39"/>
      <c r="H11" s="39"/>
      <c r="I11" s="39"/>
      <c r="J11" s="48"/>
    </row>
    <row r="12" spans="1:10">
      <c r="B12" s="15"/>
      <c r="C12" s="39" t="s">
        <v>55</v>
      </c>
      <c r="D12" s="39"/>
      <c r="E12" s="39"/>
      <c r="F12" s="39"/>
      <c r="G12" s="39"/>
      <c r="H12" s="39"/>
      <c r="I12" s="39"/>
      <c r="J12" s="48"/>
    </row>
    <row r="13" spans="1:10">
      <c r="B13" s="15"/>
      <c r="C13" s="39"/>
      <c r="D13" s="39"/>
      <c r="E13" s="39"/>
      <c r="F13" s="39"/>
      <c r="G13" s="39"/>
      <c r="H13" s="39"/>
      <c r="I13" s="39"/>
      <c r="J13" s="48"/>
    </row>
    <row r="14" spans="1:10">
      <c r="B14" s="15"/>
      <c r="C14" s="39"/>
      <c r="D14" s="155" t="s">
        <v>56</v>
      </c>
      <c r="E14" s="49" t="s">
        <v>57</v>
      </c>
      <c r="F14" s="158" t="s">
        <v>58</v>
      </c>
      <c r="G14" s="39"/>
      <c r="H14" s="39"/>
      <c r="I14" s="39"/>
      <c r="J14" s="48"/>
    </row>
    <row r="15" spans="1:10">
      <c r="B15" s="15"/>
      <c r="C15" s="39"/>
      <c r="D15" s="156"/>
      <c r="E15" s="50" t="s">
        <v>59</v>
      </c>
      <c r="F15" s="159"/>
      <c r="G15" s="39"/>
      <c r="H15" s="39"/>
      <c r="I15" s="39"/>
      <c r="J15" s="48"/>
    </row>
    <row r="16" spans="1:10">
      <c r="B16" s="15"/>
      <c r="C16" s="39"/>
      <c r="D16" s="157"/>
      <c r="E16" s="51" t="s">
        <v>60</v>
      </c>
      <c r="F16" s="160"/>
      <c r="G16" s="39"/>
      <c r="H16" s="39"/>
      <c r="I16" s="39"/>
      <c r="J16" s="48"/>
    </row>
    <row r="17" spans="2:10">
      <c r="B17" s="15"/>
      <c r="C17" s="39"/>
      <c r="D17" s="52">
        <v>1</v>
      </c>
      <c r="E17" s="53">
        <v>6.2799999999999995E-2</v>
      </c>
      <c r="F17" s="54">
        <v>12000000</v>
      </c>
      <c r="G17" s="39"/>
      <c r="H17" s="39"/>
      <c r="I17" s="39"/>
      <c r="J17" s="48"/>
    </row>
    <row r="18" spans="2:10">
      <c r="B18" s="15"/>
      <c r="C18" s="39"/>
      <c r="D18" s="52">
        <v>2</v>
      </c>
      <c r="E18" s="55">
        <v>2E-3</v>
      </c>
      <c r="F18" s="54">
        <v>21000000</v>
      </c>
      <c r="G18" s="39"/>
      <c r="H18" s="39"/>
      <c r="I18" s="39"/>
      <c r="J18" s="48"/>
    </row>
    <row r="19" spans="2:10">
      <c r="B19" s="15"/>
      <c r="C19" s="39"/>
      <c r="D19" s="52">
        <v>3</v>
      </c>
      <c r="E19" s="55">
        <v>1.4E-2</v>
      </c>
      <c r="F19" s="54">
        <v>18000000</v>
      </c>
      <c r="G19" s="39"/>
      <c r="H19" s="39"/>
      <c r="I19" s="39"/>
      <c r="J19" s="48"/>
    </row>
    <row r="20" spans="2:10">
      <c r="B20" s="15"/>
      <c r="C20" s="39"/>
      <c r="D20" s="52">
        <v>4</v>
      </c>
      <c r="E20" s="55">
        <v>2.6800000000000001E-2</v>
      </c>
      <c r="F20" s="54">
        <v>15000000</v>
      </c>
      <c r="G20" s="39"/>
      <c r="H20" s="39"/>
      <c r="I20" s="39"/>
      <c r="J20" s="48"/>
    </row>
    <row r="21" spans="2:10">
      <c r="B21" s="15"/>
      <c r="C21" s="39"/>
      <c r="D21" s="56">
        <v>5</v>
      </c>
      <c r="E21" s="53">
        <v>4.4670000000000001E-2</v>
      </c>
      <c r="F21" s="57">
        <v>13000000</v>
      </c>
      <c r="G21" s="39"/>
      <c r="H21" s="39"/>
      <c r="I21" s="39"/>
      <c r="J21" s="48"/>
    </row>
    <row r="22" spans="2:10">
      <c r="B22" s="15"/>
      <c r="C22" s="39"/>
      <c r="D22" s="52">
        <v>6</v>
      </c>
      <c r="E22" s="55">
        <v>9.1999999999999998E-2</v>
      </c>
      <c r="F22" s="54">
        <v>10000000</v>
      </c>
      <c r="G22" s="39"/>
      <c r="H22" s="39"/>
      <c r="I22" s="39"/>
      <c r="J22" s="48"/>
    </row>
    <row r="23" spans="2:10">
      <c r="B23" s="15"/>
      <c r="C23" s="39"/>
      <c r="D23" s="52">
        <v>7</v>
      </c>
      <c r="E23" s="55">
        <v>7.1999999999999998E-3</v>
      </c>
      <c r="F23" s="54">
        <v>19000000</v>
      </c>
      <c r="G23" s="39"/>
      <c r="H23" s="39"/>
      <c r="I23" s="39"/>
      <c r="J23" s="48"/>
    </row>
    <row r="24" spans="2:10">
      <c r="B24" s="15"/>
      <c r="C24" s="39"/>
      <c r="D24" s="52">
        <v>8</v>
      </c>
      <c r="E24" s="55">
        <v>1.7600000000000001E-2</v>
      </c>
      <c r="F24" s="54">
        <v>17000000</v>
      </c>
      <c r="G24" s="39"/>
      <c r="H24" s="39"/>
      <c r="I24" s="39"/>
      <c r="J24" s="48"/>
    </row>
    <row r="25" spans="2:10">
      <c r="B25" s="15"/>
      <c r="C25" s="39"/>
      <c r="D25" s="52">
        <v>9</v>
      </c>
      <c r="E25" s="55">
        <v>4.0000000000000001E-3</v>
      </c>
      <c r="F25" s="54">
        <v>20000000</v>
      </c>
      <c r="G25" s="39"/>
      <c r="H25" s="39"/>
      <c r="I25" s="39"/>
      <c r="J25" s="48"/>
    </row>
    <row r="26" spans="2:10">
      <c r="B26" s="15"/>
      <c r="C26" s="39"/>
      <c r="D26" s="52">
        <v>10</v>
      </c>
      <c r="E26" s="55">
        <v>0.2</v>
      </c>
      <c r="F26" s="54">
        <v>7000000</v>
      </c>
      <c r="G26" s="39"/>
      <c r="H26" s="39"/>
      <c r="I26" s="39"/>
      <c r="J26" s="48"/>
    </row>
    <row r="27" spans="2:10">
      <c r="B27" s="15"/>
      <c r="C27" s="39"/>
      <c r="D27" s="52">
        <v>11</v>
      </c>
      <c r="E27" s="55">
        <v>7.5999999999999998E-2</v>
      </c>
      <c r="F27" s="54">
        <v>11000000</v>
      </c>
      <c r="G27" s="39"/>
      <c r="H27" s="39"/>
      <c r="I27" s="39"/>
      <c r="J27" s="48"/>
    </row>
    <row r="28" spans="2:10">
      <c r="B28" s="15"/>
      <c r="C28" s="39"/>
      <c r="D28" s="52">
        <v>12</v>
      </c>
      <c r="E28" s="55">
        <v>0.14280000000000001</v>
      </c>
      <c r="F28" s="54">
        <v>9000000</v>
      </c>
      <c r="G28" s="39"/>
      <c r="H28" s="39"/>
      <c r="I28" s="39"/>
      <c r="J28" s="48"/>
    </row>
    <row r="29" spans="2:10">
      <c r="B29" s="15"/>
      <c r="C29" s="39"/>
      <c r="D29" s="52">
        <v>13</v>
      </c>
      <c r="E29" s="55">
        <v>0.23569999999999999</v>
      </c>
      <c r="F29" s="54">
        <v>1000000</v>
      </c>
      <c r="G29" s="39"/>
      <c r="H29" s="39"/>
      <c r="I29" s="39"/>
      <c r="J29" s="48"/>
    </row>
    <row r="30" spans="2:10">
      <c r="B30" s="15"/>
      <c r="C30" s="39"/>
      <c r="D30" s="39"/>
      <c r="E30" s="39"/>
      <c r="F30" s="39"/>
      <c r="G30" s="39"/>
      <c r="H30" s="39"/>
      <c r="I30" s="39"/>
      <c r="J30" s="48"/>
    </row>
    <row r="31" spans="2:10">
      <c r="B31" s="15" t="s">
        <v>61</v>
      </c>
      <c r="C31" s="39" t="s">
        <v>62</v>
      </c>
      <c r="D31" s="39"/>
      <c r="E31" s="39"/>
      <c r="F31" s="39"/>
      <c r="G31" s="39"/>
      <c r="H31" s="39"/>
      <c r="I31" s="39"/>
      <c r="J31" s="48"/>
    </row>
    <row r="32" spans="2:10">
      <c r="B32" s="15" t="s">
        <v>63</v>
      </c>
      <c r="C32" s="39" t="s">
        <v>64</v>
      </c>
      <c r="D32" s="39"/>
      <c r="E32" s="39"/>
      <c r="F32" s="39"/>
      <c r="G32" s="39"/>
      <c r="H32" s="39"/>
      <c r="I32" s="58"/>
      <c r="J32" s="48"/>
    </row>
    <row r="33" spans="2:10">
      <c r="B33" s="59" t="s">
        <v>11</v>
      </c>
      <c r="C33" s="39" t="s">
        <v>65</v>
      </c>
      <c r="D33" s="39"/>
      <c r="E33" s="39"/>
      <c r="F33" s="39"/>
      <c r="G33" s="39"/>
      <c r="H33" s="39"/>
      <c r="I33" s="39"/>
      <c r="J33" s="48"/>
    </row>
    <row r="34" spans="2:10">
      <c r="B34" s="59"/>
      <c r="C34" s="39" t="s">
        <v>66</v>
      </c>
      <c r="D34" s="39"/>
      <c r="E34" s="39"/>
      <c r="F34" s="39"/>
      <c r="G34" s="39"/>
      <c r="H34" s="39"/>
      <c r="I34" s="39"/>
      <c r="J34" s="48"/>
    </row>
    <row r="35" spans="2:10">
      <c r="B35" s="59" t="s">
        <v>67</v>
      </c>
      <c r="C35" s="39" t="s">
        <v>68</v>
      </c>
      <c r="D35" s="39"/>
      <c r="E35" s="39"/>
      <c r="F35" s="39"/>
      <c r="G35" s="39"/>
      <c r="H35" s="39"/>
      <c r="I35" s="39"/>
      <c r="J35" s="48"/>
    </row>
    <row r="36" spans="2:10">
      <c r="B36" s="15"/>
      <c r="C36" s="39" t="s">
        <v>69</v>
      </c>
      <c r="D36" s="39"/>
      <c r="E36" s="39"/>
      <c r="F36" s="39"/>
      <c r="G36" s="39"/>
      <c r="H36" s="39"/>
      <c r="I36" s="39"/>
      <c r="J36" s="48"/>
    </row>
    <row r="37" spans="2:10">
      <c r="B37" s="15"/>
      <c r="C37" s="39" t="s">
        <v>70</v>
      </c>
      <c r="D37" s="39"/>
      <c r="E37" s="39"/>
      <c r="F37" s="39"/>
      <c r="G37" s="39"/>
      <c r="H37" s="39"/>
      <c r="I37" s="39"/>
      <c r="J37" s="48"/>
    </row>
    <row r="38" spans="2:10">
      <c r="B38" s="15"/>
      <c r="C38" s="39"/>
      <c r="D38" s="39"/>
      <c r="E38" s="39"/>
      <c r="F38" s="39"/>
      <c r="G38" s="39"/>
      <c r="H38" s="39"/>
      <c r="I38" s="39"/>
      <c r="J38" s="48"/>
    </row>
    <row r="39" spans="2:10">
      <c r="B39" s="15"/>
      <c r="C39" s="39" t="s">
        <v>71</v>
      </c>
      <c r="D39" s="39"/>
      <c r="E39" s="39"/>
      <c r="F39" s="39"/>
      <c r="G39" s="39"/>
      <c r="H39" s="39"/>
      <c r="I39" s="39"/>
      <c r="J39" s="48"/>
    </row>
    <row r="40" spans="2:10">
      <c r="B40" s="15"/>
      <c r="C40" s="39" t="s">
        <v>72</v>
      </c>
      <c r="D40" s="39"/>
      <c r="E40" s="39"/>
      <c r="F40" s="39"/>
      <c r="G40" s="39"/>
      <c r="H40" s="39"/>
      <c r="I40" s="39"/>
      <c r="J40" s="48"/>
    </row>
    <row r="41" spans="2:10">
      <c r="B41" s="15"/>
      <c r="C41" s="39"/>
      <c r="D41" s="60"/>
      <c r="E41" s="60"/>
      <c r="F41" s="161" t="s">
        <v>73</v>
      </c>
      <c r="G41" s="161"/>
      <c r="H41" s="161"/>
      <c r="I41" s="39"/>
      <c r="J41" s="48"/>
    </row>
    <row r="42" spans="2:10">
      <c r="B42" s="15"/>
      <c r="C42" s="39"/>
      <c r="D42" s="158" t="s">
        <v>74</v>
      </c>
      <c r="E42" s="49" t="s">
        <v>75</v>
      </c>
      <c r="F42" s="158" t="s">
        <v>76</v>
      </c>
      <c r="G42" s="158" t="s">
        <v>77</v>
      </c>
      <c r="H42" s="158" t="s">
        <v>78</v>
      </c>
      <c r="I42" s="39"/>
      <c r="J42" s="48"/>
    </row>
    <row r="43" spans="2:10">
      <c r="B43" s="15"/>
      <c r="C43" s="39"/>
      <c r="D43" s="159"/>
      <c r="E43" s="50" t="s">
        <v>79</v>
      </c>
      <c r="F43" s="159"/>
      <c r="G43" s="159"/>
      <c r="H43" s="159"/>
      <c r="I43" s="39"/>
      <c r="J43" s="48"/>
    </row>
    <row r="44" spans="2:10">
      <c r="B44" s="15"/>
      <c r="C44" s="39"/>
      <c r="D44" s="160"/>
      <c r="E44" s="51" t="s">
        <v>80</v>
      </c>
      <c r="F44" s="160"/>
      <c r="G44" s="160"/>
      <c r="H44" s="160"/>
      <c r="I44" s="39"/>
      <c r="J44" s="48"/>
    </row>
    <row r="45" spans="2:10">
      <c r="B45" s="15"/>
      <c r="C45" s="39"/>
      <c r="D45" s="52">
        <v>1</v>
      </c>
      <c r="E45" s="57">
        <v>38000000</v>
      </c>
      <c r="F45" s="54">
        <v>15000000</v>
      </c>
      <c r="G45" s="54">
        <v>2959530</v>
      </c>
      <c r="H45" s="54">
        <v>3355440.396676681</v>
      </c>
      <c r="I45" s="39"/>
      <c r="J45" s="48"/>
    </row>
    <row r="46" spans="2:10">
      <c r="B46" s="15"/>
      <c r="C46" s="39"/>
      <c r="D46" s="52">
        <v>2</v>
      </c>
      <c r="E46" s="54">
        <v>28000000</v>
      </c>
      <c r="F46" s="54">
        <v>14000000</v>
      </c>
      <c r="G46" s="54">
        <v>3234528</v>
      </c>
      <c r="H46" s="54">
        <v>4049438.396676681</v>
      </c>
      <c r="I46" s="39"/>
      <c r="J46" s="48"/>
    </row>
    <row r="47" spans="2:10">
      <c r="B47" s="15"/>
      <c r="C47" s="39"/>
      <c r="D47" s="52">
        <v>3</v>
      </c>
      <c r="E47" s="54">
        <v>25000000</v>
      </c>
      <c r="F47" s="54">
        <v>12500000</v>
      </c>
      <c r="G47" s="54">
        <v>5348230</v>
      </c>
      <c r="H47" s="54">
        <v>6163140.396676681</v>
      </c>
      <c r="I47" s="39"/>
      <c r="J47" s="48"/>
    </row>
    <row r="48" spans="2:10">
      <c r="B48" s="15"/>
      <c r="C48" s="39"/>
      <c r="D48" s="52">
        <v>4</v>
      </c>
      <c r="E48" s="54">
        <v>23000000</v>
      </c>
      <c r="F48" s="54">
        <v>11300000</v>
      </c>
      <c r="G48" s="54">
        <v>7644380</v>
      </c>
      <c r="H48" s="54">
        <v>10236231.234353367</v>
      </c>
      <c r="I48" s="39"/>
      <c r="J48" s="48"/>
    </row>
    <row r="49" spans="1:10">
      <c r="B49" s="15"/>
      <c r="C49" s="39"/>
      <c r="D49" s="52">
        <v>5</v>
      </c>
      <c r="E49" s="54">
        <v>15000000</v>
      </c>
      <c r="F49" s="54">
        <v>10300000</v>
      </c>
      <c r="G49" s="54">
        <v>7982405</v>
      </c>
      <c r="H49" s="54">
        <v>10086910.39667668</v>
      </c>
      <c r="I49" s="39"/>
      <c r="J49" s="48"/>
    </row>
    <row r="50" spans="1:10">
      <c r="B50" s="15"/>
      <c r="C50" s="39"/>
      <c r="D50" s="52">
        <v>6</v>
      </c>
      <c r="E50" s="54">
        <v>13000000</v>
      </c>
      <c r="F50" s="54">
        <v>9300000</v>
      </c>
      <c r="G50" s="54">
        <v>8357291</v>
      </c>
      <c r="H50" s="54">
        <v>9752692.3966766801</v>
      </c>
      <c r="I50" s="39"/>
      <c r="J50" s="48"/>
    </row>
    <row r="51" spans="1:10">
      <c r="B51" s="15"/>
      <c r="C51" s="39"/>
      <c r="D51" s="52">
        <v>7</v>
      </c>
      <c r="E51" s="54">
        <v>10000000</v>
      </c>
      <c r="F51" s="54">
        <v>9000000</v>
      </c>
      <c r="G51" s="54">
        <v>8934193</v>
      </c>
      <c r="H51" s="54">
        <v>8659290.3966766801</v>
      </c>
      <c r="I51" s="39"/>
      <c r="J51" s="48"/>
    </row>
    <row r="52" spans="1:10" ht="15" thickBot="1">
      <c r="B52" s="61"/>
      <c r="C52" s="62"/>
      <c r="D52" s="62"/>
      <c r="E52" s="62"/>
      <c r="F52" s="62"/>
      <c r="G52" s="62"/>
      <c r="H52" s="62"/>
      <c r="I52" s="62"/>
      <c r="J52" s="63"/>
    </row>
    <row r="53" spans="1:10" ht="15" thickBot="1">
      <c r="B53" s="64" t="s">
        <v>81</v>
      </c>
      <c r="C53" s="65"/>
      <c r="D53" s="65"/>
      <c r="E53" s="65"/>
      <c r="F53" s="65"/>
      <c r="G53" s="65"/>
      <c r="H53" s="65"/>
      <c r="I53" s="65"/>
      <c r="J53" s="66"/>
    </row>
    <row r="54" spans="1:10" ht="30.75">
      <c r="A54" s="154" t="s">
        <v>86</v>
      </c>
      <c r="B54" s="3" t="s">
        <v>38</v>
      </c>
      <c r="C54" s="111" t="s">
        <v>87</v>
      </c>
      <c r="D54" s="114">
        <f>SUMPRODUCT(F17:F29,E17:E29)</f>
        <v>7223210</v>
      </c>
      <c r="F54" s="115">
        <v>0.25</v>
      </c>
    </row>
    <row r="55" spans="1:10" ht="43.5">
      <c r="A55" s="2"/>
      <c r="B55" s="3" t="s">
        <v>40</v>
      </c>
      <c r="C55" s="3" t="s">
        <v>88</v>
      </c>
      <c r="D55" s="3" t="s">
        <v>89</v>
      </c>
      <c r="E55" s="116" t="s">
        <v>90</v>
      </c>
      <c r="F55" s="116" t="s">
        <v>91</v>
      </c>
      <c r="I55" s="3" t="s">
        <v>92</v>
      </c>
    </row>
    <row r="56" spans="1:10">
      <c r="C56" s="3">
        <v>1</v>
      </c>
      <c r="D56" s="117">
        <v>21000000</v>
      </c>
      <c r="E56" s="118">
        <f>INDEX($E$17:$E$51,MATCH(D56,$F$17:$F$29,0))</f>
        <v>2E-3</v>
      </c>
      <c r="F56" s="118">
        <v>0</v>
      </c>
      <c r="I56" s="119" cm="1">
        <f t="array" ref="I56:I68">1-E56:E68</f>
        <v>0.998</v>
      </c>
    </row>
    <row r="57" spans="1:10">
      <c r="C57" s="3">
        <v>2</v>
      </c>
      <c r="D57" s="117">
        <v>20000000</v>
      </c>
      <c r="E57" s="118">
        <f t="shared" ref="E57:E68" si="0">INDEX($E$17:$E$51,MATCH(D57,$F$17:$F$29,0))</f>
        <v>4.0000000000000001E-3</v>
      </c>
      <c r="F57" s="118">
        <f>1-(1-E56)</f>
        <v>2.0000000000000018E-3</v>
      </c>
      <c r="I57" s="119">
        <v>0.996</v>
      </c>
    </row>
    <row r="58" spans="1:10">
      <c r="C58" s="3">
        <v>3</v>
      </c>
      <c r="D58" s="117">
        <v>19000000</v>
      </c>
      <c r="E58" s="118">
        <f t="shared" si="0"/>
        <v>7.1999999999999998E-3</v>
      </c>
      <c r="F58" s="118">
        <f>1-(-F57+1)*(1-E57)</f>
        <v>5.9919999999999973E-3</v>
      </c>
      <c r="I58" s="119">
        <v>0.99280000000000002</v>
      </c>
    </row>
    <row r="59" spans="1:10">
      <c r="C59" s="3">
        <v>4</v>
      </c>
      <c r="D59" s="117">
        <v>18000000</v>
      </c>
      <c r="E59" s="118">
        <f t="shared" si="0"/>
        <v>1.4E-2</v>
      </c>
      <c r="F59" s="118">
        <f t="shared" ref="F59:F66" si="1">1-(-F58+1)*(1-E58)</f>
        <v>1.3148857599999952E-2</v>
      </c>
      <c r="I59" s="119">
        <v>0.98599999999999999</v>
      </c>
    </row>
    <row r="60" spans="1:10">
      <c r="C60" s="3">
        <v>5</v>
      </c>
      <c r="D60" s="117">
        <v>17000000</v>
      </c>
      <c r="E60" s="118">
        <f t="shared" si="0"/>
        <v>1.7600000000000001E-2</v>
      </c>
      <c r="F60" s="118">
        <f t="shared" si="1"/>
        <v>2.6964773593599944E-2</v>
      </c>
      <c r="I60" s="119">
        <v>0.98240000000000005</v>
      </c>
    </row>
    <row r="61" spans="1:10">
      <c r="C61" s="3">
        <v>6</v>
      </c>
      <c r="D61" s="117">
        <v>15000000</v>
      </c>
      <c r="E61" s="118">
        <f t="shared" si="0"/>
        <v>2.6800000000000001E-2</v>
      </c>
      <c r="F61" s="118">
        <f t="shared" si="1"/>
        <v>4.4090193578352532E-2</v>
      </c>
      <c r="I61" s="119">
        <v>0.97319999999999995</v>
      </c>
    </row>
    <row r="62" spans="1:10">
      <c r="C62" s="3">
        <v>7</v>
      </c>
      <c r="D62" s="117">
        <v>13000000</v>
      </c>
      <c r="E62" s="118">
        <f t="shared" si="0"/>
        <v>4.4670000000000001E-2</v>
      </c>
      <c r="F62" s="118">
        <f t="shared" si="1"/>
        <v>6.9708576390452692E-2</v>
      </c>
      <c r="I62" s="119">
        <v>0.95533000000000001</v>
      </c>
    </row>
    <row r="63" spans="1:10">
      <c r="C63" s="3">
        <v>8</v>
      </c>
      <c r="D63" s="117">
        <v>12000000</v>
      </c>
      <c r="E63" s="118">
        <f t="shared" si="0"/>
        <v>6.2799999999999995E-2</v>
      </c>
      <c r="F63" s="118">
        <f t="shared" si="1"/>
        <v>0.11126469428309116</v>
      </c>
      <c r="I63" s="119">
        <v>0.93720000000000003</v>
      </c>
    </row>
    <row r="64" spans="1:10">
      <c r="C64" s="3">
        <v>9</v>
      </c>
      <c r="D64" s="117">
        <v>11000000</v>
      </c>
      <c r="E64" s="118">
        <f t="shared" si="0"/>
        <v>7.5999999999999998E-2</v>
      </c>
      <c r="F64" s="118">
        <f t="shared" si="1"/>
        <v>0.16707727148211304</v>
      </c>
      <c r="I64" s="119">
        <v>0.92400000000000004</v>
      </c>
    </row>
    <row r="65" spans="1:9">
      <c r="A65" s="5"/>
      <c r="C65" s="3">
        <v>10</v>
      </c>
      <c r="D65" s="117">
        <v>10000000</v>
      </c>
      <c r="E65" s="118">
        <f t="shared" si="0"/>
        <v>9.1999999999999998E-2</v>
      </c>
      <c r="F65" s="118">
        <f t="shared" si="1"/>
        <v>0.23037939884947245</v>
      </c>
      <c r="I65" s="119">
        <v>0.90800000000000003</v>
      </c>
    </row>
    <row r="66" spans="1:9">
      <c r="A66" s="5"/>
      <c r="C66" s="3">
        <v>11</v>
      </c>
      <c r="D66" s="117">
        <v>9000000</v>
      </c>
      <c r="E66" s="118">
        <f t="shared" si="0"/>
        <v>0.14280000000000001</v>
      </c>
      <c r="F66" s="120">
        <f t="shared" si="1"/>
        <v>0.301184494155321</v>
      </c>
      <c r="I66" s="119">
        <v>0.85719999999999996</v>
      </c>
    </row>
    <row r="67" spans="1:9">
      <c r="A67" s="5"/>
      <c r="C67" s="3">
        <v>12</v>
      </c>
      <c r="D67" s="117">
        <v>7000000</v>
      </c>
      <c r="E67" s="118">
        <f t="shared" si="0"/>
        <v>0.2</v>
      </c>
      <c r="F67" s="118"/>
      <c r="I67" s="119">
        <v>0.8</v>
      </c>
    </row>
    <row r="68" spans="1:9">
      <c r="C68" s="3">
        <v>13</v>
      </c>
      <c r="D68" s="117">
        <v>1000000</v>
      </c>
      <c r="E68" s="118">
        <f t="shared" si="0"/>
        <v>0.23569999999999999</v>
      </c>
      <c r="F68" s="121"/>
      <c r="I68" s="119">
        <v>0.76429999999999998</v>
      </c>
    </row>
    <row r="69" spans="1:9">
      <c r="H69" s="111" t="s">
        <v>93</v>
      </c>
      <c r="I69" s="122">
        <f>PRODUCT(I56:I68)</f>
        <v>0.36626763298045439</v>
      </c>
    </row>
    <row r="70" spans="1:9">
      <c r="H70" s="3" t="s">
        <v>94</v>
      </c>
      <c r="I70" s="123">
        <f>F66/(1-I69)</f>
        <v>0.47525502850958512</v>
      </c>
    </row>
    <row r="71" spans="1:9">
      <c r="B71" s="3" t="s">
        <v>41</v>
      </c>
      <c r="C71" s="124" t="s">
        <v>95</v>
      </c>
      <c r="D71" s="3" t="s">
        <v>96</v>
      </c>
      <c r="E71" s="3" t="s">
        <v>97</v>
      </c>
      <c r="F71" s="3" t="s">
        <v>98</v>
      </c>
    </row>
    <row r="72" spans="1:9">
      <c r="C72" s="124" t="s">
        <v>99</v>
      </c>
      <c r="D72" s="125">
        <f>SUM(F20:F22)</f>
        <v>38000000</v>
      </c>
      <c r="E72" s="126">
        <f>E20*E21*E22</f>
        <v>1.10138352E-4</v>
      </c>
      <c r="F72" s="127">
        <v>0</v>
      </c>
    </row>
    <row r="73" spans="1:9">
      <c r="C73" s="124" t="s">
        <v>100</v>
      </c>
      <c r="D73" s="125">
        <f>SUM(F20:F21)</f>
        <v>28000000</v>
      </c>
      <c r="E73" s="126">
        <f>(1-E22)*E20*E21</f>
        <v>1.0870176480000002E-3</v>
      </c>
      <c r="F73" s="127">
        <f>F72+E72</f>
        <v>1.10138352E-4</v>
      </c>
    </row>
    <row r="74" spans="1:9">
      <c r="C74" s="124" t="s">
        <v>101</v>
      </c>
      <c r="D74" s="125">
        <f>SUM(F20,F22)</f>
        <v>25000000</v>
      </c>
      <c r="E74" s="126">
        <f>(1-E21)*E20*E22</f>
        <v>2.3554616480000001E-3</v>
      </c>
      <c r="F74" s="127">
        <f>F73+E73</f>
        <v>1.1971560000000002E-3</v>
      </c>
    </row>
    <row r="75" spans="1:9">
      <c r="C75" s="124" t="s">
        <v>102</v>
      </c>
      <c r="D75" s="125">
        <f>SUM(F21:F22)</f>
        <v>23000000</v>
      </c>
      <c r="E75" s="126">
        <f>(1-E20)*E21*E22</f>
        <v>3.9995016479999999E-3</v>
      </c>
      <c r="F75" s="127">
        <f t="shared" ref="F75:F78" si="2">F74+E74</f>
        <v>3.5526176480000001E-3</v>
      </c>
    </row>
    <row r="76" spans="1:9">
      <c r="C76" s="124">
        <v>4</v>
      </c>
      <c r="D76" s="125">
        <f>F20</f>
        <v>15000000</v>
      </c>
      <c r="E76" s="126">
        <f>(1-E21)*(1-E22)*E20</f>
        <v>2.3247382352000003E-2</v>
      </c>
      <c r="F76" s="127">
        <f t="shared" si="2"/>
        <v>7.5521192960000001E-3</v>
      </c>
    </row>
    <row r="77" spans="1:9">
      <c r="C77" s="124">
        <v>5</v>
      </c>
      <c r="D77" s="125">
        <f>F21</f>
        <v>13000000</v>
      </c>
      <c r="E77" s="126">
        <f>(1-E22)*(1-E20)*E21</f>
        <v>3.9473342352E-2</v>
      </c>
      <c r="F77" s="127">
        <f t="shared" si="2"/>
        <v>3.0799501648000001E-2</v>
      </c>
    </row>
    <row r="78" spans="1:9">
      <c r="C78" s="124">
        <v>6</v>
      </c>
      <c r="D78" s="125">
        <f>F22</f>
        <v>10000000</v>
      </c>
      <c r="E78" s="126">
        <f>(1-E20)*(1-E21)*E22</f>
        <v>8.5534898351999997E-2</v>
      </c>
      <c r="F78" s="127">
        <f t="shared" si="2"/>
        <v>7.0272844000000001E-2</v>
      </c>
    </row>
    <row r="79" spans="1:9">
      <c r="E79" s="128" t="s">
        <v>103</v>
      </c>
      <c r="F79" s="129">
        <f>(F78*(D77-12000000)+F77*(12000000-D78))/(D77-D78)</f>
        <v>4.3957282431999999E-2</v>
      </c>
    </row>
    <row r="80" spans="1:9">
      <c r="B80" s="3" t="s">
        <v>104</v>
      </c>
      <c r="C80" s="105" t="s">
        <v>105</v>
      </c>
    </row>
    <row r="81" spans="1:14" ht="29.45" customHeight="1">
      <c r="C81" s="162" t="s">
        <v>106</v>
      </c>
      <c r="D81" s="162"/>
      <c r="E81" s="162"/>
      <c r="F81" s="162"/>
      <c r="G81" s="162"/>
      <c r="H81" s="162"/>
      <c r="I81" s="162"/>
      <c r="J81" s="162"/>
      <c r="K81" s="162"/>
      <c r="L81" s="162"/>
      <c r="M81" s="162"/>
      <c r="N81" s="162"/>
    </row>
    <row r="82" spans="1:14">
      <c r="C82" s="44" t="s">
        <v>107</v>
      </c>
    </row>
    <row r="83" spans="1:14">
      <c r="A83" s="2" t="s">
        <v>47</v>
      </c>
      <c r="B83" s="3" t="s">
        <v>40</v>
      </c>
      <c r="C83" s="17" t="s">
        <v>108</v>
      </c>
    </row>
    <row r="84" spans="1:14">
      <c r="C84" s="17" t="s">
        <v>109</v>
      </c>
    </row>
    <row r="85" spans="1:14">
      <c r="C85" s="17" t="s">
        <v>110</v>
      </c>
    </row>
    <row r="86" spans="1:14">
      <c r="B86" s="3" t="s">
        <v>41</v>
      </c>
      <c r="C86" s="17" t="s">
        <v>111</v>
      </c>
    </row>
    <row r="87" spans="1:14">
      <c r="C87" s="17" t="s">
        <v>112</v>
      </c>
    </row>
    <row r="88" spans="1:14">
      <c r="C88" s="17" t="s">
        <v>113</v>
      </c>
    </row>
    <row r="89" spans="1:14">
      <c r="B89" s="3" t="s">
        <v>104</v>
      </c>
      <c r="C89" s="17" t="s">
        <v>114</v>
      </c>
    </row>
    <row r="90" spans="1:14">
      <c r="C90" s="17" t="s">
        <v>115</v>
      </c>
    </row>
    <row r="91" spans="1:14">
      <c r="C91" s="17" t="s">
        <v>116</v>
      </c>
    </row>
    <row r="92" spans="1:14">
      <c r="A92" s="2" t="s">
        <v>117</v>
      </c>
      <c r="B92" s="3" t="s">
        <v>118</v>
      </c>
    </row>
    <row r="93" spans="1:14">
      <c r="B93" s="3" t="s">
        <v>119</v>
      </c>
    </row>
  </sheetData>
  <mergeCells count="8">
    <mergeCell ref="C81:N81"/>
    <mergeCell ref="D14:D16"/>
    <mergeCell ref="F14:F16"/>
    <mergeCell ref="F41:H41"/>
    <mergeCell ref="D42:D44"/>
    <mergeCell ref="F42:F44"/>
    <mergeCell ref="G42:G44"/>
    <mergeCell ref="H42:H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49FC1-2020-41B2-882B-B4FF68B432C1}">
  <dimension ref="A1:H18"/>
  <sheetViews>
    <sheetView zoomScaleNormal="100" workbookViewId="0"/>
  </sheetViews>
  <sheetFormatPr defaultColWidth="8.7109375" defaultRowHeight="14.45"/>
  <cols>
    <col min="1" max="1" width="12.28515625" style="3" customWidth="1"/>
    <col min="2" max="2" width="8.85546875" style="3" customWidth="1"/>
    <col min="3" max="3" width="12.28515625" style="3" customWidth="1"/>
    <col min="4" max="5" width="21.140625" style="3" customWidth="1"/>
    <col min="6" max="6" width="14.42578125" style="3" customWidth="1"/>
    <col min="7" max="8" width="6.140625" style="3" customWidth="1"/>
    <col min="9" max="16384" width="8.7109375" style="3"/>
  </cols>
  <sheetData>
    <row r="1" spans="1:8">
      <c r="A1" s="68" t="s">
        <v>120</v>
      </c>
      <c r="B1" s="22"/>
      <c r="C1" s="22"/>
      <c r="D1" s="69"/>
      <c r="E1" s="22"/>
      <c r="F1" s="70"/>
      <c r="G1" s="70"/>
      <c r="H1" s="34"/>
    </row>
    <row r="2" spans="1:8">
      <c r="A2" s="71"/>
      <c r="B2" s="16"/>
      <c r="C2" s="16"/>
      <c r="D2" s="72"/>
      <c r="E2" s="16"/>
      <c r="F2" s="6"/>
      <c r="G2" s="6"/>
      <c r="H2" s="21"/>
    </row>
    <row r="3" spans="1:8">
      <c r="A3" s="71"/>
      <c r="B3" s="163" t="s">
        <v>121</v>
      </c>
      <c r="C3" s="163"/>
      <c r="D3" s="163"/>
      <c r="E3" s="163"/>
      <c r="F3" s="73">
        <v>0.1</v>
      </c>
      <c r="G3" s="6"/>
      <c r="H3" s="21"/>
    </row>
    <row r="4" spans="1:8">
      <c r="A4" s="71"/>
      <c r="B4" s="163" t="s">
        <v>122</v>
      </c>
      <c r="C4" s="163"/>
      <c r="D4" s="163"/>
      <c r="E4" s="163"/>
      <c r="F4" s="73">
        <v>0.9</v>
      </c>
      <c r="G4" s="6" t="s">
        <v>123</v>
      </c>
      <c r="H4" s="21"/>
    </row>
    <row r="5" spans="1:8">
      <c r="A5" s="71"/>
      <c r="B5" s="163" t="s">
        <v>124</v>
      </c>
      <c r="C5" s="163"/>
      <c r="D5" s="163"/>
      <c r="E5" s="163"/>
      <c r="F5" s="6"/>
      <c r="G5" s="6"/>
      <c r="H5" s="21"/>
    </row>
    <row r="6" spans="1:8">
      <c r="A6" s="71"/>
      <c r="B6" s="16"/>
      <c r="C6" s="16"/>
      <c r="D6" s="16"/>
      <c r="E6" s="16"/>
      <c r="F6" s="6"/>
      <c r="G6" s="6"/>
      <c r="H6" s="21"/>
    </row>
    <row r="7" spans="1:8">
      <c r="A7" s="71" t="s">
        <v>7</v>
      </c>
      <c r="B7" s="16" t="s">
        <v>125</v>
      </c>
      <c r="C7" s="16"/>
      <c r="D7" s="16"/>
      <c r="E7" s="16"/>
      <c r="F7" s="6"/>
      <c r="G7" s="6"/>
      <c r="H7" s="21"/>
    </row>
    <row r="8" spans="1:8">
      <c r="A8" s="74" t="s">
        <v>126</v>
      </c>
      <c r="B8" s="16" t="s">
        <v>127</v>
      </c>
      <c r="C8" s="16"/>
      <c r="D8" s="16"/>
      <c r="E8" s="16"/>
      <c r="F8" s="16"/>
      <c r="G8" s="16"/>
      <c r="H8" s="21"/>
    </row>
    <row r="9" spans="1:8">
      <c r="A9" s="74"/>
      <c r="B9" s="16" t="s">
        <v>128</v>
      </c>
      <c r="C9" s="16"/>
      <c r="D9" s="16"/>
      <c r="E9" s="16"/>
      <c r="F9" s="16"/>
      <c r="G9" s="16"/>
      <c r="H9" s="21"/>
    </row>
    <row r="10" spans="1:8">
      <c r="A10" s="74"/>
      <c r="B10" s="16" t="s">
        <v>129</v>
      </c>
      <c r="C10" s="75">
        <v>0.4</v>
      </c>
      <c r="D10" s="16"/>
      <c r="E10" s="16"/>
      <c r="F10" s="16"/>
      <c r="G10" s="16"/>
      <c r="H10" s="21"/>
    </row>
    <row r="11" spans="1:8">
      <c r="A11" s="15"/>
      <c r="B11" s="16"/>
      <c r="C11" s="16"/>
      <c r="D11" s="16"/>
      <c r="E11" s="16"/>
      <c r="F11" s="6"/>
      <c r="G11" s="6"/>
      <c r="H11" s="76"/>
    </row>
    <row r="12" spans="1:8">
      <c r="A12" s="15"/>
      <c r="B12" s="163" t="s">
        <v>130</v>
      </c>
      <c r="C12" s="163"/>
      <c r="D12" s="163"/>
      <c r="E12" s="163"/>
      <c r="F12" s="163"/>
      <c r="G12" s="163"/>
      <c r="H12" s="21"/>
    </row>
    <row r="13" spans="1:8">
      <c r="A13" s="71"/>
      <c r="B13" s="39"/>
      <c r="C13" s="163" t="s">
        <v>131</v>
      </c>
      <c r="D13" s="163"/>
      <c r="E13" s="163"/>
      <c r="F13" s="6"/>
      <c r="G13" s="6"/>
      <c r="H13" s="21"/>
    </row>
    <row r="14" spans="1:8">
      <c r="A14" s="71"/>
      <c r="B14" s="39"/>
      <c r="C14" s="163" t="s">
        <v>132</v>
      </c>
      <c r="D14" s="163"/>
      <c r="E14" s="163"/>
      <c r="F14" s="6"/>
      <c r="G14" s="6"/>
      <c r="H14" s="21"/>
    </row>
    <row r="15" spans="1:8">
      <c r="A15" s="71"/>
      <c r="B15" s="39"/>
      <c r="C15" s="163" t="s">
        <v>133</v>
      </c>
      <c r="D15" s="163"/>
      <c r="E15" s="163"/>
      <c r="F15" s="6"/>
      <c r="G15" s="6"/>
      <c r="H15" s="21"/>
    </row>
    <row r="16" spans="1:8">
      <c r="A16" s="71"/>
      <c r="B16" s="16" t="s">
        <v>134</v>
      </c>
      <c r="C16" s="16"/>
      <c r="D16" s="16"/>
      <c r="E16" s="16"/>
      <c r="F16" s="6"/>
      <c r="G16" s="6"/>
      <c r="H16" s="21"/>
    </row>
    <row r="17" spans="1:8" ht="15" thickBot="1">
      <c r="A17" s="77"/>
      <c r="B17" s="26" t="s">
        <v>135</v>
      </c>
      <c r="C17" s="26"/>
      <c r="D17" s="26"/>
      <c r="E17" s="26"/>
      <c r="F17" s="78"/>
      <c r="G17" s="78"/>
      <c r="H17" s="37"/>
    </row>
    <row r="18" spans="1:8" ht="15" thickBot="1">
      <c r="A18" s="27" t="s">
        <v>16</v>
      </c>
      <c r="B18" s="28"/>
      <c r="C18" s="24"/>
      <c r="D18" s="24"/>
      <c r="E18" s="24"/>
      <c r="F18" s="24"/>
      <c r="G18" s="24"/>
      <c r="H18" s="29"/>
    </row>
  </sheetData>
  <mergeCells count="7">
    <mergeCell ref="C15:E15"/>
    <mergeCell ref="B3:E3"/>
    <mergeCell ref="B4:E4"/>
    <mergeCell ref="B5:E5"/>
    <mergeCell ref="B12:G12"/>
    <mergeCell ref="C13:E13"/>
    <mergeCell ref="C14:E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1C7D-F4B5-4274-88E2-0981AAF5A756}">
  <dimension ref="A1:I77"/>
  <sheetViews>
    <sheetView zoomScaleNormal="100" workbookViewId="0"/>
  </sheetViews>
  <sheetFormatPr defaultColWidth="8.7109375" defaultRowHeight="14.45"/>
  <cols>
    <col min="1" max="1" width="24.85546875" style="3" customWidth="1"/>
    <col min="2" max="2" width="11.42578125" style="3" customWidth="1"/>
    <col min="3" max="3" width="8.85546875" style="3" customWidth="1"/>
    <col min="4" max="4" width="12.42578125" style="3" customWidth="1"/>
    <col min="5" max="5" width="21.140625" style="3" customWidth="1"/>
    <col min="6" max="6" width="22.140625" style="3" customWidth="1"/>
    <col min="7" max="7" width="13.42578125" style="3" customWidth="1"/>
    <col min="8" max="9" width="6.140625" style="3" customWidth="1"/>
    <col min="10" max="16384" width="8.7109375" style="3"/>
  </cols>
  <sheetData>
    <row r="1" spans="1:9">
      <c r="A1" s="1" t="s">
        <v>17</v>
      </c>
      <c r="B1" s="3" t="s">
        <v>136</v>
      </c>
    </row>
    <row r="2" spans="1:9">
      <c r="A2" s="1" t="s">
        <v>19</v>
      </c>
      <c r="B2" s="3" t="s">
        <v>20</v>
      </c>
    </row>
    <row r="3" spans="1:9">
      <c r="A3" s="1" t="s">
        <v>21</v>
      </c>
      <c r="B3" s="3" t="s">
        <v>137</v>
      </c>
    </row>
    <row r="4" spans="1:9">
      <c r="A4" s="1" t="s">
        <v>23</v>
      </c>
      <c r="B4" s="3" t="s">
        <v>24</v>
      </c>
    </row>
    <row r="5" spans="1:9">
      <c r="A5" s="1" t="s">
        <v>25</v>
      </c>
      <c r="B5" s="3" t="s">
        <v>138</v>
      </c>
    </row>
    <row r="6" spans="1:9">
      <c r="A6" s="1" t="s">
        <v>27</v>
      </c>
      <c r="B6" s="3" t="s">
        <v>139</v>
      </c>
    </row>
    <row r="7" spans="1:9">
      <c r="A7" s="1" t="s">
        <v>29</v>
      </c>
      <c r="B7" s="3" t="s">
        <v>30</v>
      </c>
    </row>
    <row r="8" spans="1:9">
      <c r="A8" s="1" t="s">
        <v>31</v>
      </c>
      <c r="B8" s="3" t="s">
        <v>32</v>
      </c>
    </row>
    <row r="9" spans="1:9" ht="15" thickBot="1">
      <c r="A9" s="2" t="s">
        <v>33</v>
      </c>
      <c r="B9" s="3" t="s">
        <v>140</v>
      </c>
    </row>
    <row r="10" spans="1:9">
      <c r="B10" s="68" t="s">
        <v>120</v>
      </c>
      <c r="C10" s="22"/>
      <c r="D10" s="22"/>
      <c r="E10" s="69"/>
      <c r="F10" s="22"/>
      <c r="G10" s="70"/>
      <c r="H10" s="70"/>
      <c r="I10" s="34"/>
    </row>
    <row r="11" spans="1:9">
      <c r="B11" s="71"/>
      <c r="C11" s="16"/>
      <c r="D11" s="16"/>
      <c r="E11" s="72"/>
      <c r="F11" s="16"/>
      <c r="G11" s="6"/>
      <c r="H11" s="6"/>
      <c r="I11" s="21"/>
    </row>
    <row r="12" spans="1:9">
      <c r="B12" s="71"/>
      <c r="C12" s="163" t="s">
        <v>121</v>
      </c>
      <c r="D12" s="163"/>
      <c r="E12" s="163"/>
      <c r="F12" s="163"/>
      <c r="G12" s="73">
        <v>0.1</v>
      </c>
      <c r="H12" s="6"/>
      <c r="I12" s="21"/>
    </row>
    <row r="13" spans="1:9">
      <c r="B13" s="71"/>
      <c r="C13" s="163" t="s">
        <v>122</v>
      </c>
      <c r="D13" s="163"/>
      <c r="E13" s="163"/>
      <c r="F13" s="163"/>
      <c r="G13" s="73">
        <v>0.9</v>
      </c>
      <c r="H13" s="6" t="s">
        <v>123</v>
      </c>
      <c r="I13" s="21"/>
    </row>
    <row r="14" spans="1:9">
      <c r="B14" s="71"/>
      <c r="C14" s="163" t="s">
        <v>124</v>
      </c>
      <c r="D14" s="163"/>
      <c r="E14" s="163"/>
      <c r="F14" s="163"/>
      <c r="G14" s="6"/>
      <c r="H14" s="6"/>
      <c r="I14" s="21"/>
    </row>
    <row r="15" spans="1:9">
      <c r="B15" s="71"/>
      <c r="C15" s="16"/>
      <c r="D15" s="16"/>
      <c r="E15" s="16"/>
      <c r="F15" s="16"/>
      <c r="G15" s="6"/>
      <c r="H15" s="6"/>
      <c r="I15" s="21"/>
    </row>
    <row r="16" spans="1:9">
      <c r="B16" s="71" t="s">
        <v>7</v>
      </c>
      <c r="C16" s="16" t="s">
        <v>125</v>
      </c>
      <c r="D16" s="16"/>
      <c r="E16" s="16"/>
      <c r="F16" s="16"/>
      <c r="G16" s="6"/>
      <c r="H16" s="6"/>
      <c r="I16" s="21"/>
    </row>
    <row r="17" spans="1:9">
      <c r="B17" s="74" t="s">
        <v>126</v>
      </c>
      <c r="C17" s="16" t="s">
        <v>127</v>
      </c>
      <c r="D17" s="16"/>
      <c r="E17" s="16"/>
      <c r="F17" s="16"/>
      <c r="G17" s="16"/>
      <c r="H17" s="16"/>
      <c r="I17" s="21"/>
    </row>
    <row r="18" spans="1:9">
      <c r="B18" s="74"/>
      <c r="C18" s="16" t="s">
        <v>128</v>
      </c>
      <c r="D18" s="16"/>
      <c r="E18" s="16"/>
      <c r="F18" s="16"/>
      <c r="G18" s="16"/>
      <c r="H18" s="16"/>
      <c r="I18" s="21"/>
    </row>
    <row r="19" spans="1:9">
      <c r="B19" s="74"/>
      <c r="C19" s="16" t="s">
        <v>129</v>
      </c>
      <c r="D19" s="75">
        <v>0.4</v>
      </c>
      <c r="E19" s="16"/>
      <c r="F19" s="16"/>
      <c r="G19" s="16"/>
      <c r="H19" s="16"/>
      <c r="I19" s="21"/>
    </row>
    <row r="20" spans="1:9">
      <c r="B20" s="15"/>
      <c r="C20" s="16"/>
      <c r="D20" s="16"/>
      <c r="E20" s="16"/>
      <c r="F20" s="16"/>
      <c r="G20" s="6"/>
      <c r="H20" s="6"/>
      <c r="I20" s="76"/>
    </row>
    <row r="21" spans="1:9">
      <c r="B21" s="15"/>
      <c r="C21" s="163" t="s">
        <v>130</v>
      </c>
      <c r="D21" s="163"/>
      <c r="E21" s="163"/>
      <c r="F21" s="163"/>
      <c r="G21" s="163"/>
      <c r="H21" s="163"/>
      <c r="I21" s="21"/>
    </row>
    <row r="22" spans="1:9">
      <c r="B22" s="71"/>
      <c r="C22" s="39"/>
      <c r="D22" s="163" t="s">
        <v>131</v>
      </c>
      <c r="E22" s="163"/>
      <c r="F22" s="163"/>
      <c r="G22" s="6"/>
      <c r="H22" s="6"/>
      <c r="I22" s="21"/>
    </row>
    <row r="23" spans="1:9">
      <c r="B23" s="71"/>
      <c r="C23" s="39"/>
      <c r="D23" s="163" t="s">
        <v>132</v>
      </c>
      <c r="E23" s="163"/>
      <c r="F23" s="163"/>
      <c r="G23" s="6"/>
      <c r="H23" s="6"/>
      <c r="I23" s="21"/>
    </row>
    <row r="24" spans="1:9">
      <c r="B24" s="71"/>
      <c r="C24" s="39"/>
      <c r="D24" s="163" t="s">
        <v>133</v>
      </c>
      <c r="E24" s="163"/>
      <c r="F24" s="163"/>
      <c r="G24" s="6"/>
      <c r="H24" s="6"/>
      <c r="I24" s="21"/>
    </row>
    <row r="25" spans="1:9">
      <c r="B25" s="71"/>
      <c r="C25" s="16" t="s">
        <v>134</v>
      </c>
      <c r="D25" s="16"/>
      <c r="E25" s="16"/>
      <c r="F25" s="16"/>
      <c r="G25" s="6"/>
      <c r="H25" s="6"/>
      <c r="I25" s="21"/>
    </row>
    <row r="26" spans="1:9" ht="15" thickBot="1">
      <c r="B26" s="77"/>
      <c r="C26" s="26" t="s">
        <v>135</v>
      </c>
      <c r="D26" s="26"/>
      <c r="E26" s="26"/>
      <c r="F26" s="26"/>
      <c r="G26" s="78"/>
      <c r="H26" s="78"/>
      <c r="I26" s="37"/>
    </row>
    <row r="27" spans="1:9" ht="15">
      <c r="B27" s="27" t="s">
        <v>16</v>
      </c>
      <c r="C27" s="28"/>
      <c r="D27" s="24"/>
      <c r="E27" s="24"/>
      <c r="F27" s="24"/>
      <c r="G27" s="24"/>
      <c r="H27" s="24"/>
      <c r="I27" s="29"/>
    </row>
    <row r="28" spans="1:9" ht="14.45" customHeight="1">
      <c r="A28" s="167" t="s">
        <v>35</v>
      </c>
      <c r="B28" s="3" t="s">
        <v>38</v>
      </c>
      <c r="C28" s="43" t="s">
        <v>141</v>
      </c>
      <c r="D28" s="43"/>
      <c r="E28" s="43"/>
    </row>
    <row r="29" spans="1:9" ht="14.45" customHeight="1">
      <c r="A29" s="167"/>
    </row>
    <row r="30" spans="1:9" ht="15">
      <c r="C30" s="43"/>
      <c r="D30" s="43" t="s">
        <v>142</v>
      </c>
      <c r="E30" s="130">
        <f>1-G13</f>
        <v>9.9999999999999978E-2</v>
      </c>
    </row>
    <row r="31" spans="1:9">
      <c r="C31" s="43"/>
      <c r="D31" s="43"/>
      <c r="E31" s="130"/>
    </row>
    <row r="32" spans="1:9">
      <c r="C32" s="43" t="s">
        <v>143</v>
      </c>
      <c r="E32" s="130"/>
    </row>
    <row r="33" spans="2:9">
      <c r="C33" s="43" t="s">
        <v>144</v>
      </c>
      <c r="E33" s="130"/>
    </row>
    <row r="34" spans="2:9">
      <c r="D34" s="43"/>
      <c r="E34" s="130"/>
    </row>
    <row r="35" spans="2:9">
      <c r="C35" s="43"/>
      <c r="D35" s="43" t="s">
        <v>145</v>
      </c>
      <c r="E35" s="131" t="s">
        <v>146</v>
      </c>
    </row>
    <row r="36" spans="2:9">
      <c r="C36" s="43"/>
      <c r="D36" s="43" t="s">
        <v>145</v>
      </c>
      <c r="E36" s="130">
        <f>(E30+G12)/(1+G12)</f>
        <v>0.1818181818181818</v>
      </c>
    </row>
    <row r="37" spans="2:9">
      <c r="C37" s="43"/>
      <c r="E37" s="124"/>
    </row>
    <row r="38" spans="2:9">
      <c r="C38" s="43"/>
      <c r="D38" s="43" t="s">
        <v>147</v>
      </c>
      <c r="E38" s="131" t="s">
        <v>148</v>
      </c>
    </row>
    <row r="39" spans="2:9">
      <c r="C39" s="43"/>
      <c r="D39" s="43" t="s">
        <v>147</v>
      </c>
      <c r="E39" s="132">
        <f>E30/E36</f>
        <v>0.54999999999999993</v>
      </c>
    </row>
    <row r="40" spans="2:9">
      <c r="B40" s="3" t="s">
        <v>40</v>
      </c>
      <c r="C40" s="43" t="s">
        <v>149</v>
      </c>
      <c r="D40" s="43"/>
      <c r="E40" s="43"/>
      <c r="F40" s="43"/>
      <c r="H40" s="43"/>
      <c r="I40" s="43"/>
    </row>
    <row r="41" spans="2:9">
      <c r="C41" s="43"/>
      <c r="D41" s="43"/>
      <c r="E41" s="43"/>
      <c r="F41" s="43"/>
      <c r="G41" s="43"/>
      <c r="H41" s="43"/>
      <c r="I41" s="43"/>
    </row>
    <row r="42" spans="2:9">
      <c r="C42" s="43" t="s">
        <v>150</v>
      </c>
      <c r="D42" s="43"/>
      <c r="E42" s="43"/>
      <c r="F42" s="43"/>
      <c r="G42" s="43"/>
      <c r="H42" s="43"/>
      <c r="I42" s="43"/>
    </row>
    <row r="43" spans="2:9">
      <c r="C43" s="43"/>
      <c r="D43" s="43" t="s">
        <v>151</v>
      </c>
      <c r="E43" s="43"/>
      <c r="F43" s="43"/>
      <c r="G43" s="43"/>
      <c r="H43" s="43"/>
      <c r="I43" s="43"/>
    </row>
    <row r="44" spans="2:9">
      <c r="C44" s="43"/>
      <c r="D44" s="43" t="s">
        <v>147</v>
      </c>
      <c r="E44" s="43" t="s">
        <v>148</v>
      </c>
      <c r="F44" s="43"/>
      <c r="G44" s="43"/>
      <c r="H44" s="43"/>
      <c r="I44" s="43"/>
    </row>
    <row r="45" spans="2:9">
      <c r="C45" s="43"/>
      <c r="D45" s="130">
        <f>$D$19</f>
        <v>0.4</v>
      </c>
      <c r="E45" s="130" t="s">
        <v>152</v>
      </c>
      <c r="F45" s="130">
        <f>$E$30</f>
        <v>9.9999999999999978E-2</v>
      </c>
      <c r="G45" s="130" t="s">
        <v>153</v>
      </c>
      <c r="H45" s="130">
        <f>$E$30</f>
        <v>9.9999999999999978E-2</v>
      </c>
      <c r="I45" s="130" t="s">
        <v>154</v>
      </c>
    </row>
    <row r="46" spans="2:9">
      <c r="C46" s="43"/>
      <c r="D46" s="130">
        <f>F45/D45</f>
        <v>0.24999999999999994</v>
      </c>
      <c r="E46" s="130"/>
      <c r="F46" s="130">
        <f>H45</f>
        <v>9.9999999999999978E-2</v>
      </c>
      <c r="G46" s="130" t="s">
        <v>154</v>
      </c>
      <c r="H46" s="130"/>
      <c r="I46" s="130"/>
    </row>
    <row r="47" spans="2:9">
      <c r="C47" s="43"/>
      <c r="D47" s="130">
        <f>LN(D46)</f>
        <v>-1.3862943611198908</v>
      </c>
      <c r="E47" s="130" t="s">
        <v>152</v>
      </c>
      <c r="F47" s="130">
        <f>LN(F46)</f>
        <v>-2.3025850929940459</v>
      </c>
      <c r="G47" s="130" t="s">
        <v>155</v>
      </c>
      <c r="H47" s="130"/>
      <c r="I47" s="43"/>
    </row>
    <row r="48" spans="2:9">
      <c r="C48" s="43"/>
      <c r="D48" s="124" t="s">
        <v>38</v>
      </c>
      <c r="E48" s="130" t="s">
        <v>152</v>
      </c>
      <c r="F48" s="133">
        <f>D47/F47</f>
        <v>0.6020599913279624</v>
      </c>
      <c r="G48" s="130"/>
      <c r="H48" s="130"/>
      <c r="I48" s="43"/>
    </row>
    <row r="49" spans="3:9">
      <c r="C49" s="43"/>
      <c r="D49" s="43"/>
      <c r="E49" s="43"/>
      <c r="F49" s="43"/>
      <c r="G49" s="43"/>
      <c r="H49" s="43"/>
      <c r="I49" s="43"/>
    </row>
    <row r="50" spans="3:9">
      <c r="C50" s="43" t="s">
        <v>156</v>
      </c>
      <c r="D50" s="43"/>
      <c r="E50" s="43"/>
      <c r="F50" s="43"/>
      <c r="G50" s="43"/>
      <c r="H50" s="43"/>
      <c r="I50" s="43"/>
    </row>
    <row r="51" spans="3:9">
      <c r="C51" s="43"/>
      <c r="D51" s="43" t="s">
        <v>157</v>
      </c>
      <c r="E51" s="43"/>
      <c r="F51" s="43"/>
      <c r="G51" s="43"/>
      <c r="H51" s="43"/>
      <c r="I51" s="43"/>
    </row>
    <row r="52" spans="3:9">
      <c r="C52" s="43"/>
      <c r="D52" s="130">
        <f>D19</f>
        <v>0.4</v>
      </c>
      <c r="E52" s="131" t="s">
        <v>152</v>
      </c>
      <c r="F52" s="131" t="s">
        <v>158</v>
      </c>
      <c r="G52" s="43"/>
      <c r="H52" s="43"/>
      <c r="I52" s="43"/>
    </row>
    <row r="53" spans="3:9">
      <c r="C53" s="43"/>
      <c r="D53" s="131" t="s">
        <v>159</v>
      </c>
      <c r="E53" s="131" t="s">
        <v>152</v>
      </c>
      <c r="F53" s="130">
        <f>E30/D52</f>
        <v>0.24999999999999994</v>
      </c>
      <c r="G53" s="43"/>
      <c r="H53" s="43"/>
      <c r="I53" s="43"/>
    </row>
    <row r="54" spans="3:9">
      <c r="C54" s="43"/>
      <c r="D54" s="43" t="s">
        <v>160</v>
      </c>
      <c r="E54" s="43"/>
      <c r="F54" s="43"/>
      <c r="G54" s="43"/>
      <c r="H54" s="43"/>
      <c r="I54" s="43"/>
    </row>
    <row r="55" spans="3:9">
      <c r="C55" s="43"/>
      <c r="D55" s="131" t="s">
        <v>161</v>
      </c>
      <c r="E55" s="130">
        <f>F53</f>
        <v>0.24999999999999994</v>
      </c>
      <c r="F55" s="131"/>
      <c r="G55" s="43"/>
      <c r="H55" s="43"/>
      <c r="I55" s="43"/>
    </row>
    <row r="56" spans="3:9">
      <c r="C56" s="43"/>
      <c r="D56" s="130">
        <f>E30/E55</f>
        <v>0.4</v>
      </c>
      <c r="E56" s="134" t="s">
        <v>152</v>
      </c>
      <c r="F56" s="131" t="s">
        <v>162</v>
      </c>
      <c r="G56" s="43"/>
      <c r="H56" s="43"/>
      <c r="I56" s="43"/>
    </row>
    <row r="57" spans="3:9">
      <c r="C57" s="43"/>
      <c r="D57" s="131" t="s">
        <v>163</v>
      </c>
      <c r="E57" s="131" t="s">
        <v>152</v>
      </c>
      <c r="F57" s="133">
        <f>1-D56</f>
        <v>0.6</v>
      </c>
      <c r="G57" s="43"/>
      <c r="H57" s="43"/>
      <c r="I57" s="43"/>
    </row>
    <row r="58" spans="3:9">
      <c r="C58" s="43"/>
      <c r="D58" s="43"/>
      <c r="E58" s="43"/>
      <c r="F58" s="43"/>
      <c r="G58" s="43"/>
      <c r="H58" s="43"/>
      <c r="I58" s="43"/>
    </row>
    <row r="59" spans="3:9">
      <c r="C59" s="135" t="s">
        <v>164</v>
      </c>
      <c r="D59" s="43"/>
      <c r="E59" s="43"/>
      <c r="F59" s="43"/>
      <c r="G59" s="43"/>
      <c r="H59" s="43"/>
      <c r="I59" s="43"/>
    </row>
    <row r="60" spans="3:9">
      <c r="C60" s="135" t="s">
        <v>165</v>
      </c>
      <c r="D60" s="130"/>
      <c r="F60" s="131"/>
      <c r="G60" s="43"/>
      <c r="H60" s="43"/>
      <c r="I60" s="43"/>
    </row>
    <row r="61" spans="3:9">
      <c r="C61" s="43"/>
      <c r="D61" s="130"/>
      <c r="E61" s="131"/>
      <c r="F61" s="130"/>
      <c r="G61" s="43"/>
      <c r="H61" s="43"/>
      <c r="I61" s="43"/>
    </row>
    <row r="62" spans="3:9">
      <c r="C62" s="43"/>
      <c r="D62" s="136" t="s">
        <v>166</v>
      </c>
      <c r="E62" s="131"/>
      <c r="F62" s="130"/>
      <c r="G62" s="43"/>
      <c r="H62" s="43"/>
      <c r="I62" s="43"/>
    </row>
    <row r="63" spans="3:9">
      <c r="C63" s="43"/>
      <c r="D63" s="130">
        <f>$E$30/$D$19</f>
        <v>0.24999999999999994</v>
      </c>
      <c r="E63" s="131" t="s">
        <v>152</v>
      </c>
      <c r="F63" s="130">
        <v>1</v>
      </c>
      <c r="G63" s="43" t="s">
        <v>167</v>
      </c>
      <c r="H63" s="137">
        <f>1-E30</f>
        <v>0.9</v>
      </c>
      <c r="I63" s="43" t="s">
        <v>168</v>
      </c>
    </row>
    <row r="64" spans="3:9">
      <c r="C64" s="43"/>
      <c r="D64" s="130">
        <f>F63-D63</f>
        <v>0.75</v>
      </c>
      <c r="E64" s="131" t="s">
        <v>152</v>
      </c>
      <c r="F64" s="130">
        <f>H63</f>
        <v>0.9</v>
      </c>
      <c r="G64" s="43" t="s">
        <v>168</v>
      </c>
      <c r="H64" s="43"/>
      <c r="I64" s="43"/>
    </row>
    <row r="65" spans="1:9">
      <c r="C65" s="43"/>
      <c r="D65" s="130">
        <f>LN(D64)</f>
        <v>-0.2876820724517809</v>
      </c>
      <c r="E65" s="131" t="s">
        <v>152</v>
      </c>
      <c r="F65" s="130">
        <f>LN(F64)</f>
        <v>-0.10536051565782628</v>
      </c>
      <c r="G65" s="43" t="s">
        <v>169</v>
      </c>
      <c r="H65" s="43"/>
      <c r="I65" s="43"/>
    </row>
    <row r="66" spans="1:9">
      <c r="C66" s="43"/>
      <c r="D66" s="124" t="s">
        <v>170</v>
      </c>
      <c r="E66" s="131" t="s">
        <v>152</v>
      </c>
      <c r="F66" s="133">
        <f>D65/F65</f>
        <v>2.7304542945297516</v>
      </c>
      <c r="G66" s="43"/>
      <c r="H66" s="43"/>
      <c r="I66" s="43"/>
    </row>
    <row r="67" spans="1:9">
      <c r="A67" s="2" t="s">
        <v>47</v>
      </c>
      <c r="B67" s="3" t="s">
        <v>38</v>
      </c>
      <c r="C67" s="43" t="s">
        <v>171</v>
      </c>
    </row>
    <row r="68" spans="1:9">
      <c r="C68" s="43" t="s">
        <v>172</v>
      </c>
    </row>
    <row r="69" spans="1:9">
      <c r="B69" s="3" t="s">
        <v>40</v>
      </c>
      <c r="C69" s="3" t="s">
        <v>173</v>
      </c>
      <c r="D69" s="3" t="s">
        <v>174</v>
      </c>
    </row>
    <row r="70" spans="1:9">
      <c r="D70" s="43" t="s">
        <v>171</v>
      </c>
    </row>
    <row r="71" spans="1:9">
      <c r="D71" s="43" t="s">
        <v>172</v>
      </c>
    </row>
    <row r="72" spans="1:9">
      <c r="C72" s="3" t="s">
        <v>175</v>
      </c>
      <c r="D72" s="3" t="s">
        <v>174</v>
      </c>
    </row>
    <row r="73" spans="1:9">
      <c r="D73" s="43" t="s">
        <v>171</v>
      </c>
    </row>
    <row r="74" spans="1:9">
      <c r="D74" s="43" t="s">
        <v>172</v>
      </c>
    </row>
    <row r="75" spans="1:9">
      <c r="C75" s="43" t="s">
        <v>171</v>
      </c>
    </row>
    <row r="76" spans="1:9">
      <c r="C76" s="43" t="s">
        <v>172</v>
      </c>
    </row>
    <row r="77" spans="1:9">
      <c r="A77" s="2" t="s">
        <v>117</v>
      </c>
      <c r="B77" s="3" t="s">
        <v>176</v>
      </c>
    </row>
  </sheetData>
  <mergeCells count="8">
    <mergeCell ref="A28:A29"/>
    <mergeCell ref="D24:F24"/>
    <mergeCell ref="C12:F12"/>
    <mergeCell ref="C13:F13"/>
    <mergeCell ref="C14:F14"/>
    <mergeCell ref="C21:H21"/>
    <mergeCell ref="D22:F22"/>
    <mergeCell ref="D23:F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0B03B-7396-4852-8496-7C7D6E35FF6A}">
  <dimension ref="G1:P23"/>
  <sheetViews>
    <sheetView zoomScaleNormal="100" workbookViewId="0">
      <selection activeCell="A17" sqref="A17"/>
    </sheetView>
  </sheetViews>
  <sheetFormatPr defaultColWidth="8.7109375" defaultRowHeight="14.45"/>
  <cols>
    <col min="1" max="6" width="10.140625" style="3" customWidth="1"/>
    <col min="7" max="7" width="12.28515625" style="3" customWidth="1"/>
    <col min="8" max="10" width="11.28515625" style="3" customWidth="1"/>
    <col min="11" max="11" width="7.5703125" style="3" customWidth="1"/>
    <col min="12" max="12" width="11.85546875" style="3" customWidth="1"/>
    <col min="13" max="15" width="10.140625" style="3" customWidth="1"/>
    <col min="16" max="16384" width="8.7109375" style="3"/>
  </cols>
  <sheetData>
    <row r="1" spans="7:16">
      <c r="G1" s="67" t="s">
        <v>177</v>
      </c>
      <c r="H1" s="46"/>
      <c r="I1" s="46"/>
      <c r="J1" s="46"/>
      <c r="K1" s="46"/>
      <c r="L1" s="46"/>
      <c r="M1" s="46"/>
      <c r="N1" s="46"/>
      <c r="O1" s="46"/>
      <c r="P1" s="47"/>
    </row>
    <row r="2" spans="7:16">
      <c r="G2" s="15"/>
      <c r="H2" s="39"/>
      <c r="I2" s="39"/>
      <c r="J2" s="39"/>
      <c r="K2" s="39"/>
      <c r="L2" s="39"/>
      <c r="M2" s="39"/>
      <c r="N2" s="39"/>
      <c r="O2" s="39"/>
      <c r="P2" s="48"/>
    </row>
    <row r="3" spans="7:16">
      <c r="G3" s="15"/>
      <c r="H3" s="79"/>
      <c r="I3" s="80" t="s">
        <v>178</v>
      </c>
      <c r="J3" s="81" t="s">
        <v>179</v>
      </c>
      <c r="K3" s="39"/>
      <c r="L3" s="80"/>
      <c r="M3" s="82"/>
      <c r="N3" s="80"/>
      <c r="O3" s="81"/>
      <c r="P3" s="48"/>
    </row>
    <row r="4" spans="7:16">
      <c r="G4" s="15"/>
      <c r="H4" s="83" t="s">
        <v>180</v>
      </c>
      <c r="I4" s="56" t="s">
        <v>42</v>
      </c>
      <c r="J4" s="84" t="s">
        <v>181</v>
      </c>
      <c r="K4" s="39"/>
      <c r="L4" s="56" t="s">
        <v>182</v>
      </c>
      <c r="M4" s="85" t="s">
        <v>183</v>
      </c>
      <c r="N4" s="56" t="s">
        <v>184</v>
      </c>
      <c r="O4" s="84" t="s">
        <v>185</v>
      </c>
      <c r="P4" s="48"/>
    </row>
    <row r="5" spans="7:16">
      <c r="G5" s="15"/>
      <c r="H5" s="56" t="s">
        <v>183</v>
      </c>
      <c r="I5" s="56">
        <v>500</v>
      </c>
      <c r="J5" s="86">
        <v>1000</v>
      </c>
      <c r="K5" s="39"/>
      <c r="L5" s="56" t="s">
        <v>183</v>
      </c>
      <c r="M5" s="87">
        <v>1</v>
      </c>
      <c r="N5" s="87">
        <v>0.35</v>
      </c>
      <c r="O5" s="87">
        <v>0.15</v>
      </c>
      <c r="P5" s="48"/>
    </row>
    <row r="6" spans="7:16">
      <c r="G6" s="15"/>
      <c r="H6" s="52" t="s">
        <v>184</v>
      </c>
      <c r="I6" s="52">
        <v>275</v>
      </c>
      <c r="J6" s="52">
        <v>200</v>
      </c>
      <c r="K6" s="39"/>
      <c r="L6" s="52" t="s">
        <v>184</v>
      </c>
      <c r="M6" s="88">
        <v>0.35</v>
      </c>
      <c r="N6" s="88">
        <v>1</v>
      </c>
      <c r="O6" s="88">
        <v>0.25</v>
      </c>
      <c r="P6" s="48"/>
    </row>
    <row r="7" spans="7:16">
      <c r="G7" s="15"/>
      <c r="H7" s="52" t="s">
        <v>185</v>
      </c>
      <c r="I7" s="52">
        <v>100</v>
      </c>
      <c r="J7" s="52">
        <v>25</v>
      </c>
      <c r="K7" s="39"/>
      <c r="L7" s="52" t="s">
        <v>185</v>
      </c>
      <c r="M7" s="88">
        <v>0.15</v>
      </c>
      <c r="N7" s="88">
        <v>0.25</v>
      </c>
      <c r="O7" s="88">
        <v>1</v>
      </c>
      <c r="P7" s="48"/>
    </row>
    <row r="8" spans="7:16">
      <c r="G8" s="15"/>
      <c r="H8" s="39"/>
      <c r="I8" s="39"/>
      <c r="J8" s="39"/>
      <c r="K8" s="39"/>
      <c r="L8" s="39"/>
      <c r="M8" s="39"/>
      <c r="N8" s="39"/>
      <c r="O8" s="39"/>
      <c r="P8" s="48"/>
    </row>
    <row r="9" spans="7:16">
      <c r="G9" s="15"/>
      <c r="H9" s="164" t="s">
        <v>186</v>
      </c>
      <c r="I9" s="165"/>
      <c r="J9" s="89" t="s">
        <v>187</v>
      </c>
      <c r="K9" s="39"/>
      <c r="L9" s="39"/>
      <c r="M9" s="39"/>
      <c r="N9" s="39"/>
      <c r="O9" s="39"/>
      <c r="P9" s="48"/>
    </row>
    <row r="10" spans="7:16">
      <c r="G10" s="15"/>
      <c r="H10" s="164" t="s">
        <v>188</v>
      </c>
      <c r="I10" s="165"/>
      <c r="J10" s="90">
        <v>1046.57</v>
      </c>
      <c r="K10" s="39"/>
      <c r="L10" s="39"/>
      <c r="M10" s="39"/>
      <c r="N10" s="39"/>
      <c r="O10" s="39"/>
      <c r="P10" s="48"/>
    </row>
    <row r="11" spans="7:16">
      <c r="G11" s="15"/>
      <c r="H11" s="164" t="s">
        <v>189</v>
      </c>
      <c r="I11" s="165"/>
      <c r="J11" s="52">
        <v>851.01</v>
      </c>
      <c r="K11" s="39"/>
      <c r="L11" s="39"/>
      <c r="M11" s="39"/>
      <c r="N11" s="39"/>
      <c r="O11" s="39"/>
      <c r="P11" s="48"/>
    </row>
    <row r="12" spans="7:16">
      <c r="G12" s="15"/>
      <c r="H12" s="164" t="s">
        <v>190</v>
      </c>
      <c r="I12" s="165"/>
      <c r="J12" s="52">
        <v>426.92</v>
      </c>
      <c r="K12" s="39"/>
      <c r="L12" s="39"/>
      <c r="M12" s="39"/>
      <c r="N12" s="39"/>
      <c r="O12" s="39"/>
      <c r="P12" s="48"/>
    </row>
    <row r="13" spans="7:16">
      <c r="G13" s="15"/>
      <c r="H13" s="39"/>
      <c r="I13" s="39"/>
      <c r="J13" s="39"/>
      <c r="K13" s="39"/>
      <c r="L13" s="39"/>
      <c r="M13" s="39"/>
      <c r="N13" s="39"/>
      <c r="O13" s="39"/>
      <c r="P13" s="48"/>
    </row>
    <row r="14" spans="7:16">
      <c r="G14" s="15"/>
      <c r="H14" s="39" t="s">
        <v>191</v>
      </c>
      <c r="I14" s="39"/>
      <c r="J14" s="39"/>
      <c r="K14" s="39"/>
      <c r="L14" s="39"/>
      <c r="M14" s="39"/>
      <c r="N14" s="39"/>
      <c r="O14" s="39"/>
      <c r="P14" s="91">
        <v>0.25</v>
      </c>
    </row>
    <row r="15" spans="7:16">
      <c r="G15" s="15"/>
      <c r="H15" s="39" t="s">
        <v>192</v>
      </c>
      <c r="I15" s="39"/>
      <c r="J15" s="39"/>
      <c r="K15" s="39"/>
      <c r="L15" s="39"/>
      <c r="M15" s="39"/>
      <c r="N15" s="39"/>
      <c r="O15" s="39"/>
      <c r="P15" s="48"/>
    </row>
    <row r="16" spans="7:16">
      <c r="G16" s="15"/>
      <c r="H16" s="39"/>
      <c r="I16" s="39"/>
      <c r="J16" s="39"/>
      <c r="K16" s="39"/>
      <c r="L16" s="39"/>
      <c r="M16" s="39"/>
      <c r="N16" s="39"/>
      <c r="O16" s="39"/>
      <c r="P16" s="48"/>
    </row>
    <row r="17" spans="7:16">
      <c r="G17" s="15" t="s">
        <v>193</v>
      </c>
      <c r="H17" s="39" t="s">
        <v>194</v>
      </c>
      <c r="I17" s="39"/>
      <c r="J17" s="39"/>
      <c r="K17" s="39"/>
      <c r="L17" s="39"/>
      <c r="M17" s="39"/>
      <c r="N17" s="39"/>
      <c r="O17" s="39"/>
      <c r="P17" s="48"/>
    </row>
    <row r="18" spans="7:16">
      <c r="G18" s="15" t="s">
        <v>9</v>
      </c>
      <c r="H18" s="143" t="s">
        <v>195</v>
      </c>
      <c r="I18" s="39"/>
      <c r="J18" s="39"/>
      <c r="K18" s="39"/>
      <c r="L18" s="39"/>
      <c r="M18" s="39"/>
      <c r="N18" s="39"/>
      <c r="O18" s="39"/>
      <c r="P18" s="48"/>
    </row>
    <row r="19" spans="7:16" ht="15" thickBot="1">
      <c r="G19" s="61" t="s">
        <v>196</v>
      </c>
      <c r="H19" s="144" t="s">
        <v>197</v>
      </c>
      <c r="I19" s="62"/>
      <c r="J19" s="62"/>
      <c r="K19" s="62"/>
      <c r="L19" s="62"/>
      <c r="M19" s="62"/>
      <c r="N19" s="62"/>
      <c r="O19" s="62"/>
      <c r="P19" s="63"/>
    </row>
    <row r="20" spans="7:16" ht="15" thickBot="1">
      <c r="G20" s="141" t="s">
        <v>198</v>
      </c>
      <c r="H20" s="39"/>
      <c r="I20" s="39"/>
      <c r="J20" s="39"/>
      <c r="K20" s="39"/>
      <c r="L20" s="39"/>
      <c r="M20" s="39"/>
      <c r="N20" s="39"/>
      <c r="O20" s="48"/>
      <c r="P20" s="142"/>
    </row>
    <row r="21" spans="7:16" ht="15" thickBot="1">
      <c r="G21" s="64" t="s">
        <v>199</v>
      </c>
      <c r="H21" s="93"/>
      <c r="I21" s="93"/>
      <c r="J21" s="93"/>
      <c r="K21" s="93"/>
      <c r="L21" s="93"/>
      <c r="M21" s="93"/>
      <c r="N21" s="93"/>
      <c r="O21" s="94"/>
      <c r="P21" s="92"/>
    </row>
    <row r="22" spans="7:16" ht="15" thickBot="1">
      <c r="G22" s="95" t="s">
        <v>200</v>
      </c>
      <c r="H22" s="62"/>
      <c r="I22" s="62"/>
      <c r="J22" s="62"/>
      <c r="K22" s="62"/>
      <c r="L22" s="62"/>
      <c r="M22" s="62"/>
      <c r="N22" s="62"/>
      <c r="O22" s="63"/>
      <c r="P22" s="96"/>
    </row>
    <row r="23" spans="7:16" ht="15" thickBot="1">
      <c r="G23" s="95" t="s">
        <v>81</v>
      </c>
      <c r="H23" s="97"/>
      <c r="I23" s="97"/>
      <c r="J23" s="97"/>
      <c r="K23" s="97"/>
      <c r="L23" s="97"/>
      <c r="M23" s="97"/>
      <c r="N23" s="97"/>
      <c r="O23" s="97"/>
      <c r="P23" s="98"/>
    </row>
  </sheetData>
  <mergeCells count="4">
    <mergeCell ref="H9:I9"/>
    <mergeCell ref="H10:I10"/>
    <mergeCell ref="H11:I11"/>
    <mergeCell ref="H12:I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9E5C-956E-4829-83C8-3F5F47B5CCF6}">
  <dimension ref="A1:L85"/>
  <sheetViews>
    <sheetView zoomScaleNormal="100" workbookViewId="0"/>
  </sheetViews>
  <sheetFormatPr defaultColWidth="8.7109375" defaultRowHeight="14.45"/>
  <cols>
    <col min="1" max="1" width="24.85546875" style="3" customWidth="1"/>
    <col min="2" max="2" width="12" style="3" customWidth="1"/>
    <col min="3" max="5" width="11.42578125" style="3" customWidth="1"/>
    <col min="6" max="6" width="10.5703125" style="3" customWidth="1"/>
    <col min="7" max="7" width="11.85546875" style="3" customWidth="1"/>
    <col min="8" max="10" width="10.28515625" style="3" customWidth="1"/>
    <col min="11" max="16384" width="8.7109375" style="3"/>
  </cols>
  <sheetData>
    <row r="1" spans="1:11">
      <c r="A1" s="1" t="s">
        <v>17</v>
      </c>
      <c r="B1" s="3" t="s">
        <v>136</v>
      </c>
    </row>
    <row r="2" spans="1:11">
      <c r="A2" s="1" t="s">
        <v>19</v>
      </c>
      <c r="B2" s="3" t="s">
        <v>201</v>
      </c>
    </row>
    <row r="3" spans="1:11">
      <c r="A3" s="1" t="s">
        <v>21</v>
      </c>
      <c r="B3" s="3" t="s">
        <v>202</v>
      </c>
    </row>
    <row r="4" spans="1:11">
      <c r="A4" s="1" t="s">
        <v>23</v>
      </c>
      <c r="B4" s="3" t="s">
        <v>24</v>
      </c>
    </row>
    <row r="5" spans="1:11">
      <c r="A5" s="1" t="s">
        <v>203</v>
      </c>
      <c r="B5" s="3" t="s">
        <v>204</v>
      </c>
    </row>
    <row r="6" spans="1:11">
      <c r="A6" s="1" t="s">
        <v>27</v>
      </c>
      <c r="B6" s="3" t="s">
        <v>205</v>
      </c>
    </row>
    <row r="7" spans="1:11">
      <c r="A7" s="1" t="s">
        <v>29</v>
      </c>
      <c r="B7" s="3" t="s">
        <v>30</v>
      </c>
    </row>
    <row r="8" spans="1:11">
      <c r="A8" s="1" t="s">
        <v>31</v>
      </c>
      <c r="B8" s="3" t="s">
        <v>32</v>
      </c>
    </row>
    <row r="9" spans="1:11" ht="15" thickBot="1">
      <c r="A9" s="2" t="s">
        <v>33</v>
      </c>
      <c r="B9" s="3" t="s">
        <v>206</v>
      </c>
    </row>
    <row r="10" spans="1:11">
      <c r="B10" s="67" t="s">
        <v>177</v>
      </c>
      <c r="C10" s="46"/>
      <c r="D10" s="46"/>
      <c r="E10" s="46"/>
      <c r="F10" s="46"/>
      <c r="G10" s="46"/>
      <c r="H10" s="46"/>
      <c r="I10" s="46"/>
      <c r="J10" s="46"/>
      <c r="K10" s="47"/>
    </row>
    <row r="11" spans="1:11">
      <c r="B11" s="15"/>
      <c r="C11" s="39"/>
      <c r="D11" s="39"/>
      <c r="E11" s="39"/>
      <c r="F11" s="39"/>
      <c r="G11" s="39"/>
      <c r="H11" s="39"/>
      <c r="I11" s="39"/>
      <c r="J11" s="39"/>
      <c r="K11" s="48"/>
    </row>
    <row r="12" spans="1:11">
      <c r="B12" s="15"/>
      <c r="C12" s="79"/>
      <c r="D12" s="80" t="s">
        <v>178</v>
      </c>
      <c r="E12" s="81" t="s">
        <v>179</v>
      </c>
      <c r="F12" s="39"/>
      <c r="G12" s="80"/>
      <c r="H12" s="82"/>
      <c r="I12" s="80"/>
      <c r="J12" s="81"/>
      <c r="K12" s="48"/>
    </row>
    <row r="13" spans="1:11">
      <c r="B13" s="15"/>
      <c r="C13" s="83" t="s">
        <v>180</v>
      </c>
      <c r="D13" s="56" t="s">
        <v>42</v>
      </c>
      <c r="E13" s="84" t="s">
        <v>181</v>
      </c>
      <c r="F13" s="39"/>
      <c r="G13" s="56" t="s">
        <v>182</v>
      </c>
      <c r="H13" s="85" t="s">
        <v>183</v>
      </c>
      <c r="I13" s="56" t="s">
        <v>184</v>
      </c>
      <c r="J13" s="84" t="s">
        <v>185</v>
      </c>
      <c r="K13" s="48"/>
    </row>
    <row r="14" spans="1:11">
      <c r="B14" s="15"/>
      <c r="C14" s="56" t="s">
        <v>183</v>
      </c>
      <c r="D14" s="56">
        <v>500</v>
      </c>
      <c r="E14" s="86">
        <v>1000</v>
      </c>
      <c r="F14" s="39"/>
      <c r="G14" s="56" t="s">
        <v>183</v>
      </c>
      <c r="H14" s="87">
        <v>1</v>
      </c>
      <c r="I14" s="87">
        <v>0.35</v>
      </c>
      <c r="J14" s="87">
        <v>0.15</v>
      </c>
      <c r="K14" s="48"/>
    </row>
    <row r="15" spans="1:11">
      <c r="B15" s="15"/>
      <c r="C15" s="52" t="s">
        <v>184</v>
      </c>
      <c r="D15" s="52">
        <v>275</v>
      </c>
      <c r="E15" s="52">
        <v>200</v>
      </c>
      <c r="F15" s="39"/>
      <c r="G15" s="52" t="s">
        <v>184</v>
      </c>
      <c r="H15" s="88">
        <v>0.35</v>
      </c>
      <c r="I15" s="88">
        <v>1</v>
      </c>
      <c r="J15" s="88">
        <v>0.25</v>
      </c>
      <c r="K15" s="48"/>
    </row>
    <row r="16" spans="1:11">
      <c r="B16" s="15"/>
      <c r="C16" s="52" t="s">
        <v>185</v>
      </c>
      <c r="D16" s="52">
        <v>100</v>
      </c>
      <c r="E16" s="52">
        <v>25</v>
      </c>
      <c r="F16" s="39"/>
      <c r="G16" s="52" t="s">
        <v>185</v>
      </c>
      <c r="H16" s="88">
        <v>0.15</v>
      </c>
      <c r="I16" s="88">
        <v>0.25</v>
      </c>
      <c r="J16" s="88">
        <v>1</v>
      </c>
      <c r="K16" s="48"/>
    </row>
    <row r="17" spans="2:11">
      <c r="B17" s="15"/>
      <c r="C17" s="39"/>
      <c r="D17" s="39"/>
      <c r="E17" s="39"/>
      <c r="F17" s="39"/>
      <c r="G17" s="39"/>
      <c r="H17" s="39"/>
      <c r="I17" s="39"/>
      <c r="J17" s="39"/>
      <c r="K17" s="48"/>
    </row>
    <row r="18" spans="2:11">
      <c r="B18" s="15"/>
      <c r="C18" s="164" t="s">
        <v>186</v>
      </c>
      <c r="D18" s="165"/>
      <c r="E18" s="89" t="s">
        <v>187</v>
      </c>
      <c r="F18" s="39"/>
      <c r="G18" s="39"/>
      <c r="H18" s="39"/>
      <c r="I18" s="39"/>
      <c r="J18" s="39"/>
      <c r="K18" s="48"/>
    </row>
    <row r="19" spans="2:11">
      <c r="B19" s="15"/>
      <c r="C19" s="164" t="s">
        <v>188</v>
      </c>
      <c r="D19" s="165"/>
      <c r="E19" s="90">
        <v>1046.57</v>
      </c>
      <c r="F19" s="39"/>
      <c r="G19" s="39"/>
      <c r="H19" s="39"/>
      <c r="I19" s="39"/>
      <c r="J19" s="39"/>
      <c r="K19" s="48"/>
    </row>
    <row r="20" spans="2:11">
      <c r="B20" s="15"/>
      <c r="C20" s="164" t="s">
        <v>189</v>
      </c>
      <c r="D20" s="165"/>
      <c r="E20" s="52">
        <v>851.01</v>
      </c>
      <c r="F20" s="39"/>
      <c r="G20" s="39"/>
      <c r="H20" s="39"/>
      <c r="I20" s="39"/>
      <c r="J20" s="39"/>
      <c r="K20" s="48"/>
    </row>
    <row r="21" spans="2:11">
      <c r="B21" s="15"/>
      <c r="C21" s="164" t="s">
        <v>190</v>
      </c>
      <c r="D21" s="165"/>
      <c r="E21" s="52">
        <v>426.92</v>
      </c>
      <c r="F21" s="39"/>
      <c r="G21" s="39"/>
      <c r="H21" s="39"/>
      <c r="I21" s="39"/>
      <c r="J21" s="39"/>
      <c r="K21" s="48"/>
    </row>
    <row r="22" spans="2:11">
      <c r="B22" s="15"/>
      <c r="C22" s="39"/>
      <c r="D22" s="39"/>
      <c r="E22" s="39"/>
      <c r="F22" s="39"/>
      <c r="G22" s="39"/>
      <c r="H22" s="39"/>
      <c r="I22" s="39"/>
      <c r="J22" s="39"/>
      <c r="K22" s="48"/>
    </row>
    <row r="23" spans="2:11">
      <c r="B23" s="15"/>
      <c r="C23" s="39" t="s">
        <v>191</v>
      </c>
      <c r="D23" s="39"/>
      <c r="E23" s="39"/>
      <c r="F23" s="39"/>
      <c r="G23" s="39"/>
      <c r="H23" s="39"/>
      <c r="I23" s="39"/>
      <c r="J23" s="39"/>
      <c r="K23" s="91">
        <v>0.25</v>
      </c>
    </row>
    <row r="24" spans="2:11">
      <c r="B24" s="15"/>
      <c r="C24" s="39" t="s">
        <v>192</v>
      </c>
      <c r="D24" s="39"/>
      <c r="E24" s="39"/>
      <c r="F24" s="39"/>
      <c r="G24" s="39"/>
      <c r="H24" s="39"/>
      <c r="I24" s="39"/>
      <c r="J24" s="39"/>
      <c r="K24" s="48"/>
    </row>
    <row r="25" spans="2:11">
      <c r="B25" s="15"/>
      <c r="C25" s="39"/>
      <c r="D25" s="39"/>
      <c r="E25" s="39"/>
      <c r="F25" s="39"/>
      <c r="G25" s="39"/>
      <c r="H25" s="39"/>
      <c r="I25" s="39"/>
      <c r="J25" s="39"/>
      <c r="K25" s="48"/>
    </row>
    <row r="26" spans="2:11">
      <c r="B26" s="15" t="s">
        <v>193</v>
      </c>
      <c r="C26" s="39" t="s">
        <v>194</v>
      </c>
      <c r="D26" s="39"/>
      <c r="E26" s="39"/>
      <c r="F26" s="39"/>
      <c r="G26" s="39"/>
      <c r="H26" s="39"/>
      <c r="I26" s="39"/>
      <c r="J26" s="39"/>
      <c r="K26" s="48"/>
    </row>
    <row r="27" spans="2:11">
      <c r="B27" s="15" t="s">
        <v>9</v>
      </c>
      <c r="C27" s="143" t="s">
        <v>195</v>
      </c>
      <c r="D27" s="39"/>
      <c r="E27" s="39"/>
      <c r="F27" s="39"/>
      <c r="G27" s="39"/>
      <c r="H27" s="39"/>
      <c r="I27" s="39"/>
      <c r="J27" s="39"/>
      <c r="K27" s="48"/>
    </row>
    <row r="28" spans="2:11" ht="15" thickBot="1">
      <c r="B28" s="61" t="s">
        <v>196</v>
      </c>
      <c r="C28" s="144" t="s">
        <v>197</v>
      </c>
      <c r="D28" s="62"/>
      <c r="E28" s="62"/>
      <c r="F28" s="62"/>
      <c r="G28" s="62"/>
      <c r="H28" s="62"/>
      <c r="I28" s="62"/>
      <c r="J28" s="62"/>
      <c r="K28" s="63"/>
    </row>
    <row r="29" spans="2:11" ht="15" thickBot="1">
      <c r="B29" s="141" t="s">
        <v>198</v>
      </c>
      <c r="C29" s="39"/>
      <c r="D29" s="39"/>
      <c r="E29" s="39"/>
      <c r="F29" s="39"/>
      <c r="G29" s="39"/>
      <c r="H29" s="39"/>
      <c r="I29" s="39"/>
      <c r="J29" s="48"/>
      <c r="K29" s="142"/>
    </row>
    <row r="30" spans="2:11" ht="15" thickBot="1">
      <c r="B30" s="64" t="s">
        <v>199</v>
      </c>
      <c r="C30" s="93"/>
      <c r="D30" s="93"/>
      <c r="E30" s="93"/>
      <c r="F30" s="93"/>
      <c r="G30" s="93"/>
      <c r="H30" s="93"/>
      <c r="I30" s="93"/>
      <c r="J30" s="94"/>
      <c r="K30" s="92"/>
    </row>
    <row r="31" spans="2:11" ht="15" thickBot="1">
      <c r="B31" s="95" t="s">
        <v>200</v>
      </c>
      <c r="C31" s="62"/>
      <c r="D31" s="62"/>
      <c r="E31" s="62"/>
      <c r="F31" s="62"/>
      <c r="G31" s="62"/>
      <c r="H31" s="62"/>
      <c r="I31" s="62"/>
      <c r="J31" s="63"/>
      <c r="K31" s="96"/>
    </row>
    <row r="32" spans="2:11" ht="15" thickBot="1">
      <c r="B32" s="95" t="s">
        <v>81</v>
      </c>
      <c r="C32" s="97"/>
      <c r="D32" s="97"/>
      <c r="E32" s="97"/>
      <c r="F32" s="97"/>
      <c r="G32" s="97"/>
      <c r="H32" s="97"/>
      <c r="I32" s="97"/>
      <c r="J32" s="97"/>
      <c r="K32" s="98"/>
    </row>
    <row r="33" spans="1:12" ht="43.5">
      <c r="A33" s="154" t="s">
        <v>207</v>
      </c>
      <c r="B33" s="3" t="s">
        <v>208</v>
      </c>
      <c r="I33" s="3" t="s">
        <v>208</v>
      </c>
      <c r="J33" s="17" t="s">
        <v>209</v>
      </c>
      <c r="L33" s="17" t="s">
        <v>210</v>
      </c>
    </row>
    <row r="34" spans="1:12">
      <c r="A34" s="2"/>
      <c r="C34" s="3" t="s">
        <v>211</v>
      </c>
      <c r="E34" s="3">
        <v>734.68</v>
      </c>
      <c r="G34" s="107" t="s">
        <v>212</v>
      </c>
      <c r="J34" s="17" t="s">
        <v>213</v>
      </c>
      <c r="L34" s="17" t="s">
        <v>214</v>
      </c>
    </row>
    <row r="35" spans="1:12">
      <c r="A35" s="2"/>
      <c r="C35" s="3" t="s">
        <v>215</v>
      </c>
      <c r="E35" s="3">
        <v>310.13</v>
      </c>
      <c r="G35" s="107" t="s">
        <v>212</v>
      </c>
    </row>
    <row r="36" spans="1:12">
      <c r="C36" s="3" t="s">
        <v>216</v>
      </c>
      <c r="E36" s="3">
        <v>102.98</v>
      </c>
      <c r="G36" s="107" t="s">
        <v>212</v>
      </c>
      <c r="J36" s="17" t="s">
        <v>217</v>
      </c>
      <c r="L36" s="17" t="s">
        <v>218</v>
      </c>
    </row>
    <row r="37" spans="1:12">
      <c r="B37" s="3" t="s">
        <v>219</v>
      </c>
      <c r="J37" s="17" t="s">
        <v>220</v>
      </c>
      <c r="K37" s="17"/>
    </row>
    <row r="38" spans="1:12">
      <c r="D38" s="107" t="s">
        <v>212</v>
      </c>
      <c r="E38" s="107" t="s">
        <v>212</v>
      </c>
      <c r="J38" s="17" t="s">
        <v>221</v>
      </c>
      <c r="K38" s="17"/>
    </row>
    <row r="39" spans="1:12">
      <c r="C39" s="101" t="s">
        <v>222</v>
      </c>
      <c r="D39" s="101" t="s">
        <v>223</v>
      </c>
      <c r="E39" s="101" t="s">
        <v>187</v>
      </c>
    </row>
    <row r="40" spans="1:12">
      <c r="B40" s="102" t="s">
        <v>224</v>
      </c>
      <c r="C40" s="103">
        <f t="shared" ref="C40:D42" si="0">D14</f>
        <v>500</v>
      </c>
      <c r="D40" s="103">
        <f t="shared" si="0"/>
        <v>1000</v>
      </c>
      <c r="E40" s="104">
        <f>C40+0.25*D40</f>
        <v>750</v>
      </c>
      <c r="J40" s="17" t="s">
        <v>220</v>
      </c>
    </row>
    <row r="41" spans="1:12">
      <c r="B41" s="102" t="s">
        <v>225</v>
      </c>
      <c r="C41" s="103">
        <f t="shared" si="0"/>
        <v>275</v>
      </c>
      <c r="D41" s="103">
        <f t="shared" si="0"/>
        <v>200</v>
      </c>
      <c r="E41" s="104">
        <f t="shared" ref="E41:E46" si="1">C41+0.25*D41</f>
        <v>325</v>
      </c>
      <c r="J41" s="17" t="s">
        <v>221</v>
      </c>
    </row>
    <row r="42" spans="1:12">
      <c r="B42" s="102" t="s">
        <v>226</v>
      </c>
      <c r="C42" s="103">
        <f t="shared" si="0"/>
        <v>100</v>
      </c>
      <c r="D42" s="103">
        <f t="shared" si="0"/>
        <v>25</v>
      </c>
      <c r="E42" s="104">
        <f t="shared" si="1"/>
        <v>106.25</v>
      </c>
    </row>
    <row r="43" spans="1:12">
      <c r="B43" s="102" t="s">
        <v>227</v>
      </c>
      <c r="C43" s="103">
        <f>D14+D15</f>
        <v>775</v>
      </c>
      <c r="D43" s="103">
        <f>SQRT(E15^2+E14^2+2*E14*E15*H15)</f>
        <v>1086.2780491200215</v>
      </c>
      <c r="E43" s="104">
        <f t="shared" si="1"/>
        <v>1046.5695122800053</v>
      </c>
      <c r="F43" s="5"/>
      <c r="J43" s="17" t="s">
        <v>220</v>
      </c>
    </row>
    <row r="44" spans="1:12">
      <c r="B44" s="102" t="s">
        <v>228</v>
      </c>
      <c r="C44" s="103">
        <f>D14+D16</f>
        <v>600</v>
      </c>
      <c r="D44" s="103">
        <f>SQRT(E14^2+E16^2+2*E14*E16*H16)</f>
        <v>1004.0542814011601</v>
      </c>
      <c r="E44" s="104">
        <f t="shared" si="1"/>
        <v>851.01357035029002</v>
      </c>
      <c r="F44" s="5"/>
      <c r="J44" s="17" t="s">
        <v>221</v>
      </c>
    </row>
    <row r="45" spans="1:12">
      <c r="B45" s="102" t="s">
        <v>229</v>
      </c>
      <c r="C45" s="103">
        <f>D15+D16</f>
        <v>375</v>
      </c>
      <c r="D45" s="103">
        <f>SQRT(E15^2+E16^2+2*E16*E15*I16)</f>
        <v>207.66559657295187</v>
      </c>
      <c r="E45" s="104">
        <f t="shared" si="1"/>
        <v>426.91639914323798</v>
      </c>
      <c r="F45" s="5"/>
    </row>
    <row r="46" spans="1:12">
      <c r="B46" s="102" t="s">
        <v>230</v>
      </c>
      <c r="C46" s="103">
        <f>D14+D15+D16</f>
        <v>875</v>
      </c>
      <c r="D46" s="104">
        <f>SQRT(E14^2+E15^2+E16^2+2*(E14*E15*H15+E14*E16*H16+E15*E16*J15))</f>
        <v>1091.1576421397597</v>
      </c>
      <c r="E46" s="104">
        <f t="shared" si="1"/>
        <v>1147.7894105349399</v>
      </c>
      <c r="F46" s="5"/>
    </row>
    <row r="48" spans="1:12">
      <c r="B48" s="102" t="s">
        <v>231</v>
      </c>
    </row>
    <row r="49" spans="2:9">
      <c r="B49" s="102" t="s">
        <v>183</v>
      </c>
      <c r="F49" s="107" t="s">
        <v>212</v>
      </c>
      <c r="G49" s="107" t="s">
        <v>212</v>
      </c>
      <c r="I49" s="5"/>
    </row>
    <row r="50" spans="2:9">
      <c r="D50" s="101" t="s">
        <v>232</v>
      </c>
      <c r="E50" s="101" t="s">
        <v>233</v>
      </c>
      <c r="F50" s="101" t="s">
        <v>234</v>
      </c>
      <c r="G50" s="101" t="s">
        <v>187</v>
      </c>
    </row>
    <row r="51" spans="2:9">
      <c r="C51" s="102" t="s">
        <v>183</v>
      </c>
      <c r="D51" s="102" t="s">
        <v>235</v>
      </c>
      <c r="E51" s="3">
        <v>0</v>
      </c>
      <c r="F51" s="105">
        <f>(FACT(E51)*FACT(3-E51-1))/FACT(3)</f>
        <v>0.33333333333333331</v>
      </c>
      <c r="G51" s="106">
        <f>E40</f>
        <v>750</v>
      </c>
    </row>
    <row r="52" spans="2:9">
      <c r="C52" s="102" t="s">
        <v>183</v>
      </c>
      <c r="D52" s="102" t="s">
        <v>184</v>
      </c>
      <c r="E52" s="3">
        <v>1</v>
      </c>
      <c r="F52" s="105">
        <f t="shared" ref="F52:F54" si="2">(FACT(E52)*FACT(3-E52-1))/FACT(3)</f>
        <v>0.16666666666666666</v>
      </c>
      <c r="G52" s="106">
        <f>E43-E41</f>
        <v>721.56951228000526</v>
      </c>
    </row>
    <row r="53" spans="2:9">
      <c r="C53" s="102" t="s">
        <v>183</v>
      </c>
      <c r="D53" s="102" t="s">
        <v>185</v>
      </c>
      <c r="E53" s="3">
        <v>1</v>
      </c>
      <c r="F53" s="105">
        <f t="shared" si="2"/>
        <v>0.16666666666666666</v>
      </c>
      <c r="G53" s="106">
        <f>E44-E42</f>
        <v>744.76357035029002</v>
      </c>
    </row>
    <row r="54" spans="2:9">
      <c r="C54" s="102" t="s">
        <v>183</v>
      </c>
      <c r="D54" s="102" t="s">
        <v>236</v>
      </c>
      <c r="E54" s="3">
        <v>2</v>
      </c>
      <c r="F54" s="105">
        <f t="shared" si="2"/>
        <v>0.33333333333333331</v>
      </c>
      <c r="G54" s="106">
        <f>E46-E45</f>
        <v>720.87301139170188</v>
      </c>
    </row>
    <row r="56" spans="2:9">
      <c r="F56" s="102" t="s">
        <v>183</v>
      </c>
      <c r="G56" s="103">
        <f>SUMPRODUCT(G51:G54,F51:F54)</f>
        <v>734.67985090228308</v>
      </c>
      <c r="H56" s="100"/>
    </row>
    <row r="57" spans="2:9">
      <c r="B57" s="102" t="s">
        <v>184</v>
      </c>
      <c r="G57" s="107" t="s">
        <v>212</v>
      </c>
    </row>
    <row r="58" spans="2:9">
      <c r="D58" s="101" t="s">
        <v>232</v>
      </c>
      <c r="E58" s="101" t="s">
        <v>233</v>
      </c>
      <c r="F58" s="101" t="s">
        <v>234</v>
      </c>
      <c r="G58" s="101" t="s">
        <v>187</v>
      </c>
    </row>
    <row r="59" spans="2:9">
      <c r="C59" s="102" t="s">
        <v>184</v>
      </c>
      <c r="D59" s="102" t="s">
        <v>235</v>
      </c>
      <c r="E59" s="3">
        <v>0</v>
      </c>
      <c r="F59" s="3">
        <f>(FACT(E59)*FACT(3-E59-1))/FACT(3)</f>
        <v>0.33333333333333331</v>
      </c>
      <c r="G59" s="106">
        <f>E41</f>
        <v>325</v>
      </c>
    </row>
    <row r="60" spans="2:9">
      <c r="C60" s="102" t="s">
        <v>184</v>
      </c>
      <c r="D60" s="102" t="s">
        <v>183</v>
      </c>
      <c r="E60" s="3">
        <v>1</v>
      </c>
      <c r="F60" s="3">
        <f t="shared" ref="F60:F62" si="3">(FACT(E60)*FACT(3-E60-1))/FACT(3)</f>
        <v>0.16666666666666666</v>
      </c>
      <c r="G60" s="106">
        <f>E43-E40</f>
        <v>296.56951228000526</v>
      </c>
    </row>
    <row r="61" spans="2:9">
      <c r="C61" s="102" t="s">
        <v>184</v>
      </c>
      <c r="D61" s="102" t="s">
        <v>185</v>
      </c>
      <c r="E61" s="3">
        <v>1</v>
      </c>
      <c r="F61" s="3">
        <f t="shared" si="3"/>
        <v>0.16666666666666666</v>
      </c>
      <c r="G61" s="106">
        <f>E45-E42</f>
        <v>320.66639914323798</v>
      </c>
    </row>
    <row r="62" spans="2:9">
      <c r="C62" s="102" t="s">
        <v>184</v>
      </c>
      <c r="D62" s="102" t="s">
        <v>237</v>
      </c>
      <c r="E62" s="3">
        <v>2</v>
      </c>
      <c r="F62" s="3">
        <f t="shared" si="3"/>
        <v>0.33333333333333331</v>
      </c>
      <c r="G62" s="106">
        <f>E46-E44</f>
        <v>296.77584018464984</v>
      </c>
    </row>
    <row r="64" spans="2:9">
      <c r="F64" s="102" t="s">
        <v>184</v>
      </c>
      <c r="G64" s="103">
        <f>SUMPRODUCT(G59:G62,F59:F62)</f>
        <v>310.13126529875711</v>
      </c>
      <c r="H64" s="100"/>
    </row>
    <row r="65" spans="2:10">
      <c r="B65" s="102" t="s">
        <v>185</v>
      </c>
      <c r="G65" s="107" t="s">
        <v>212</v>
      </c>
    </row>
    <row r="66" spans="2:10">
      <c r="D66" s="101" t="s">
        <v>232</v>
      </c>
      <c r="E66" s="101" t="s">
        <v>233</v>
      </c>
      <c r="F66" s="101" t="s">
        <v>234</v>
      </c>
      <c r="G66" s="101" t="s">
        <v>187</v>
      </c>
    </row>
    <row r="67" spans="2:10">
      <c r="C67" s="102" t="s">
        <v>185</v>
      </c>
      <c r="D67" s="102" t="s">
        <v>235</v>
      </c>
      <c r="E67" s="3">
        <v>0</v>
      </c>
      <c r="F67" s="3">
        <f>(FACT(E67)*FACT(3-E67-1))/FACT(3)</f>
        <v>0.33333333333333331</v>
      </c>
      <c r="G67" s="106">
        <f>E42</f>
        <v>106.25</v>
      </c>
    </row>
    <row r="68" spans="2:10">
      <c r="C68" s="102" t="s">
        <v>185</v>
      </c>
      <c r="D68" s="102" t="s">
        <v>183</v>
      </c>
      <c r="E68" s="3">
        <v>1</v>
      </c>
      <c r="F68" s="3">
        <f t="shared" ref="F68:F70" si="4">(FACT(E68)*FACT(3-E68-1))/FACT(3)</f>
        <v>0.16666666666666666</v>
      </c>
      <c r="G68" s="106">
        <f>E44-E40</f>
        <v>101.01357035029002</v>
      </c>
    </row>
    <row r="69" spans="2:10">
      <c r="C69" s="102" t="s">
        <v>185</v>
      </c>
      <c r="D69" s="102" t="s">
        <v>184</v>
      </c>
      <c r="E69" s="3">
        <v>1</v>
      </c>
      <c r="F69" s="3">
        <f t="shared" si="4"/>
        <v>0.16666666666666666</v>
      </c>
      <c r="G69" s="106">
        <f>E45-E41</f>
        <v>101.91639914323798</v>
      </c>
    </row>
    <row r="70" spans="2:10">
      <c r="C70" s="102" t="s">
        <v>185</v>
      </c>
      <c r="D70" s="102" t="s">
        <v>238</v>
      </c>
      <c r="E70" s="3">
        <v>2</v>
      </c>
      <c r="F70" s="3">
        <f t="shared" si="4"/>
        <v>0.33333333333333331</v>
      </c>
      <c r="G70" s="106">
        <f>E46-E43</f>
        <v>101.21989825493461</v>
      </c>
    </row>
    <row r="72" spans="2:10">
      <c r="F72" s="102" t="s">
        <v>185</v>
      </c>
      <c r="G72" s="103">
        <f>SUMPRODUCT(G67:G70,F67:F70)</f>
        <v>102.97829433389953</v>
      </c>
      <c r="H72" s="100"/>
    </row>
    <row r="74" spans="2:10">
      <c r="F74" s="102" t="s">
        <v>239</v>
      </c>
      <c r="G74" s="103">
        <f>G56+G64+G72</f>
        <v>1147.7894105349399</v>
      </c>
    </row>
    <row r="75" spans="2:10">
      <c r="G75" s="3" t="b">
        <f>G74=E46</f>
        <v>1</v>
      </c>
    </row>
    <row r="76" spans="2:10">
      <c r="B76" s="99" t="s">
        <v>240</v>
      </c>
      <c r="C76" s="3" t="s">
        <v>241</v>
      </c>
      <c r="I76" s="3" t="s">
        <v>240</v>
      </c>
      <c r="J76" s="17" t="s">
        <v>242</v>
      </c>
    </row>
    <row r="77" spans="2:10">
      <c r="C77" s="3" t="s">
        <v>243</v>
      </c>
    </row>
    <row r="78" spans="2:10">
      <c r="C78" s="3" t="s">
        <v>244</v>
      </c>
    </row>
    <row r="79" spans="2:10">
      <c r="C79" s="3" t="s">
        <v>245</v>
      </c>
    </row>
    <row r="80" spans="2:10">
      <c r="C80" s="3" t="s">
        <v>246</v>
      </c>
    </row>
    <row r="81" spans="1:12">
      <c r="B81" s="3" t="s">
        <v>247</v>
      </c>
      <c r="C81" s="3" t="s">
        <v>248</v>
      </c>
      <c r="I81" s="3" t="s">
        <v>247</v>
      </c>
      <c r="J81" s="17" t="s">
        <v>249</v>
      </c>
    </row>
    <row r="82" spans="1:12" ht="29.1" customHeight="1">
      <c r="C82" s="166" t="s">
        <v>250</v>
      </c>
      <c r="D82" s="166"/>
      <c r="E82" s="166"/>
      <c r="F82" s="166"/>
      <c r="G82" s="166"/>
      <c r="H82" s="166"/>
      <c r="I82" s="166"/>
      <c r="J82" s="166"/>
      <c r="K82" s="166"/>
    </row>
    <row r="83" spans="1:12">
      <c r="A83" s="2" t="s">
        <v>117</v>
      </c>
      <c r="B83" s="3" t="s">
        <v>251</v>
      </c>
    </row>
    <row r="84" spans="1:12">
      <c r="B84" s="3" t="s">
        <v>252</v>
      </c>
    </row>
    <row r="85" spans="1:12" ht="29.1" customHeight="1">
      <c r="B85" s="166" t="s">
        <v>253</v>
      </c>
      <c r="C85" s="166"/>
      <c r="D85" s="166"/>
      <c r="E85" s="166"/>
      <c r="F85" s="166"/>
      <c r="G85" s="166"/>
      <c r="H85" s="166"/>
      <c r="I85" s="166"/>
      <c r="J85" s="166"/>
      <c r="K85" s="166"/>
      <c r="L85" s="166"/>
    </row>
  </sheetData>
  <mergeCells count="6">
    <mergeCell ref="B85:L85"/>
    <mergeCell ref="C18:D18"/>
    <mergeCell ref="C19:D19"/>
    <mergeCell ref="C20:D20"/>
    <mergeCell ref="C21:D21"/>
    <mergeCell ref="C82:K8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8458E-BB47-483E-A302-4E6AA5DB85B8}">
  <dimension ref="A1:A2"/>
  <sheetViews>
    <sheetView zoomScaleNormal="100" workbookViewId="0"/>
  </sheetViews>
  <sheetFormatPr defaultColWidth="8.7109375" defaultRowHeight="14.45"/>
  <cols>
    <col min="1" max="16384" width="8.7109375" style="3"/>
  </cols>
  <sheetData>
    <row r="1" spans="1:1">
      <c r="A1" s="3" t="s">
        <v>254</v>
      </c>
    </row>
    <row r="2" spans="1:1">
      <c r="A2" s="3" t="s">
        <v>255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F80A2582B2324EB3B957A472D25D6D" ma:contentTypeVersion="20" ma:contentTypeDescription="Create a new document." ma:contentTypeScope="" ma:versionID="03b8013887e3ebcd5ca794cc847e871d">
  <xsd:schema xmlns:xsd="http://www.w3.org/2001/XMLSchema" xmlns:xs="http://www.w3.org/2001/XMLSchema" xmlns:p="http://schemas.microsoft.com/office/2006/metadata/properties" xmlns:ns1="http://schemas.microsoft.com/sharepoint/v3" xmlns:ns2="93d7f137-c694-475d-b4d4-d79f6ee71069" xmlns:ns3="2cad2633-845d-4850-8d62-154821408d05" targetNamespace="http://schemas.microsoft.com/office/2006/metadata/properties" ma:root="true" ma:fieldsID="cfba0fd45431b15464ad91d139b8669b" ns1:_="" ns2:_="" ns3:_="">
    <xsd:import namespace="http://schemas.microsoft.com/sharepoint/v3"/>
    <xsd:import namespace="93d7f137-c694-475d-b4d4-d79f6ee71069"/>
    <xsd:import namespace="2cad2633-845d-4850-8d62-154821408d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d7f137-c694-475d-b4d4-d79f6ee71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560b896-8886-498a-a042-c3e26b9789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ad2633-845d-4850-8d62-154821408d0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846c64a-fc1e-4a2a-83cd-c4878622f9f7}" ma:internalName="TaxCatchAll" ma:showField="CatchAllData" ma:web="2cad2633-845d-4850-8d62-15482140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3d7f137-c694-475d-b4d4-d79f6ee71069" xsi:nil="true"/>
    <_ip_UnifiedCompliancePolicyUIAction xmlns="http://schemas.microsoft.com/sharepoint/v3" xsi:nil="true"/>
    <_ip_UnifiedCompliancePolicyProperties xmlns="http://schemas.microsoft.com/sharepoint/v3" xsi:nil="true"/>
    <lcf76f155ced4ddcb4097134ff3c332f xmlns="93d7f137-c694-475d-b4d4-d79f6ee71069">
      <Terms xmlns="http://schemas.microsoft.com/office/infopath/2007/PartnerControls"/>
    </lcf76f155ced4ddcb4097134ff3c332f>
    <TaxCatchAll xmlns="2cad2633-845d-4850-8d62-154821408d05" xsi:nil="true"/>
  </documentManagement>
</p:properties>
</file>

<file path=customXml/itemProps1.xml><?xml version="1.0" encoding="utf-8"?>
<ds:datastoreItem xmlns:ds="http://schemas.openxmlformats.org/officeDocument/2006/customXml" ds:itemID="{92E0002A-0424-44CC-AB61-92561149352F}"/>
</file>

<file path=customXml/itemProps2.xml><?xml version="1.0" encoding="utf-8"?>
<ds:datastoreItem xmlns:ds="http://schemas.openxmlformats.org/officeDocument/2006/customXml" ds:itemID="{0B60417B-ECC6-4264-AAD6-2D59C80154AF}"/>
</file>

<file path=customXml/itemProps3.xml><?xml version="1.0" encoding="utf-8"?>
<ds:datastoreItem xmlns:ds="http://schemas.openxmlformats.org/officeDocument/2006/customXml" ds:itemID="{A883A175-16B7-4F63-8388-50C3405826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Clark</dc:creator>
  <cp:keywords/>
  <dc:description/>
  <cp:lastModifiedBy>Annie Caporellie</cp:lastModifiedBy>
  <cp:revision/>
  <dcterms:created xsi:type="dcterms:W3CDTF">2026-06-17T21:03:40Z</dcterms:created>
  <dcterms:modified xsi:type="dcterms:W3CDTF">2026-07-22T16:43:16Z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0x010100E0F80A2582B2324EB3B957A472D25D6D</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