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casact-my.sharepoint.com/personal/cmarx_casact_org/Documents/Desktop/"/>
    </mc:Choice>
  </mc:AlternateContent>
  <xr:revisionPtr revIDLastSave="0" documentId="8_{1DBBFCD8-9A88-4DDF-825F-00CB567A2932}" xr6:coauthVersionLast="47" xr6:coauthVersionMax="47" xr10:uidLastSave="{00000000-0000-0000-0000-000000000000}"/>
  <bookViews>
    <workbookView xWindow="-110" yWindow="-110" windowWidth="19420" windowHeight="11500" tabRatio="830" xr2:uid="{37BAD8F7-34A3-491B-AEE7-0D587CAC15C0}"/>
  </bookViews>
  <sheets>
    <sheet name="Item 1" sheetId="6" r:id="rId1"/>
    <sheet name="Item 2" sheetId="1" r:id="rId2"/>
    <sheet name="Item 3" sheetId="3" r:id="rId3"/>
    <sheet name="Item 4" sheetId="4" r:id="rId4"/>
    <sheet name="Item 5" sheetId="5" r:id="rId5"/>
    <sheet name="Item 6" sheetId="24" r:id="rId6"/>
    <sheet name="Item 7" sheetId="7" r:id="rId7"/>
    <sheet name="Item 8" sheetId="8" r:id="rId8"/>
    <sheet name="Item 9" sheetId="9" r:id="rId9"/>
    <sheet name="Item 10" sheetId="23" r:id="rId10"/>
    <sheet name="Answer Item 1" sheetId="17" r:id="rId11"/>
    <sheet name="Answer Item 2" sheetId="13" r:id="rId12"/>
    <sheet name="Answer Item 3" sheetId="14" r:id="rId13"/>
    <sheet name="Answer Item 4" sheetId="15" r:id="rId14"/>
    <sheet name="Answer Item 5" sheetId="16" r:id="rId15"/>
    <sheet name="Answer Item 6" sheetId="25" r:id="rId16"/>
    <sheet name="Answer Item 7" sheetId="18" r:id="rId17"/>
    <sheet name="Answer Item 8" sheetId="19" r:id="rId18"/>
    <sheet name="Answer Item 9" sheetId="20" r:id="rId19"/>
    <sheet name="Answer Item 10" sheetId="21" r:id="rId2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2" i="20" l="1"/>
  <c r="T31" i="20"/>
  <c r="T30" i="20"/>
  <c r="T29" i="20"/>
  <c r="R24" i="20"/>
  <c r="R23" i="20"/>
  <c r="S14" i="20"/>
  <c r="S13" i="20"/>
  <c r="H62" i="18"/>
  <c r="H59" i="18"/>
  <c r="H56" i="18"/>
  <c r="H53" i="18"/>
  <c r="L47" i="18"/>
  <c r="K48" i="18"/>
  <c r="K47" i="18"/>
  <c r="I43" i="18"/>
  <c r="J43" i="18"/>
  <c r="K42" i="18"/>
  <c r="J42" i="18"/>
  <c r="I42" i="18"/>
  <c r="I34" i="18"/>
  <c r="J34" i="18"/>
  <c r="J33" i="18"/>
  <c r="B42" i="18"/>
  <c r="I33" i="18"/>
  <c r="K29" i="18"/>
  <c r="J30" i="18"/>
  <c r="J29" i="18"/>
  <c r="I31" i="18"/>
  <c r="I30" i="18"/>
  <c r="I29" i="18"/>
  <c r="B68" i="18"/>
  <c r="B63" i="18"/>
  <c r="B72" i="18" s="1"/>
  <c r="B38" i="18"/>
  <c r="B57" i="18"/>
  <c r="B56" i="18"/>
  <c r="B55" i="18"/>
  <c r="C49" i="18"/>
  <c r="C48" i="18"/>
  <c r="C47" i="18"/>
  <c r="B48" i="18"/>
  <c r="B47" i="18"/>
  <c r="B40" i="18"/>
  <c r="B39" i="18"/>
  <c r="B32" i="18"/>
  <c r="B31" i="18"/>
  <c r="B30" i="18"/>
  <c r="C31" i="18"/>
  <c r="C30" i="18"/>
  <c r="C29" i="18"/>
  <c r="B29" i="18"/>
  <c r="G46" i="16"/>
  <c r="E71" i="15"/>
  <c r="F68" i="15"/>
  <c r="E68" i="15"/>
  <c r="G35" i="16"/>
  <c r="D45" i="16"/>
  <c r="D41" i="16"/>
  <c r="G107" i="15"/>
  <c r="D27" i="13"/>
  <c r="T28" i="20"/>
  <c r="F41" i="16"/>
  <c r="F42" i="16"/>
  <c r="F40" i="16"/>
  <c r="E78" i="15"/>
  <c r="E54" i="15"/>
  <c r="J32" i="17"/>
  <c r="M41" i="17"/>
  <c r="L41" i="17"/>
  <c r="K41" i="17"/>
  <c r="J41" i="17"/>
  <c r="M40" i="17"/>
  <c r="L40" i="17"/>
  <c r="K40" i="17"/>
  <c r="J40" i="17"/>
  <c r="M39" i="17"/>
  <c r="L39" i="17"/>
  <c r="K39" i="17"/>
  <c r="J39" i="17"/>
  <c r="M38" i="17"/>
  <c r="L38" i="17"/>
  <c r="K38" i="17"/>
  <c r="J38" i="17"/>
  <c r="M37" i="17"/>
  <c r="L37" i="17"/>
  <c r="J37" i="17"/>
  <c r="M36" i="17"/>
  <c r="L36" i="17"/>
  <c r="K36" i="17"/>
  <c r="J36" i="17"/>
  <c r="M35" i="17"/>
  <c r="L35" i="17"/>
  <c r="K35" i="17"/>
  <c r="J35" i="17"/>
  <c r="M34" i="17"/>
  <c r="L34" i="17"/>
  <c r="K34" i="17"/>
  <c r="J34" i="17"/>
  <c r="M33" i="17"/>
  <c r="L33" i="17"/>
  <c r="J33" i="17"/>
  <c r="M32" i="17"/>
  <c r="L32" i="17"/>
  <c r="K32" i="17"/>
  <c r="I50" i="18"/>
  <c r="B50" i="18"/>
  <c r="J49" i="18"/>
  <c r="I49" i="18"/>
  <c r="B49" i="18"/>
  <c r="J48" i="18"/>
  <c r="I48" i="18"/>
  <c r="J47" i="18"/>
  <c r="I47" i="18"/>
  <c r="A47" i="18"/>
  <c r="H47" i="18" s="1"/>
  <c r="I40" i="18"/>
  <c r="J39" i="18"/>
  <c r="I39" i="18"/>
  <c r="K38" i="18"/>
  <c r="K43" i="18" s="1"/>
  <c r="J38" i="18"/>
  <c r="I38" i="18"/>
  <c r="A38" i="18"/>
  <c r="B18" i="18"/>
  <c r="D17" i="18"/>
  <c r="E17" i="18" s="1"/>
  <c r="F17" i="18" s="1"/>
  <c r="B12" i="18"/>
  <c r="A30" i="18"/>
  <c r="K33" i="18"/>
  <c r="K34" i="18" s="1"/>
  <c r="H29" i="18"/>
  <c r="D10" i="18"/>
  <c r="E10" i="18" s="1"/>
  <c r="F10" i="18" s="1"/>
  <c r="A31" i="18" l="1"/>
  <c r="A48" i="18"/>
  <c r="B19" i="18"/>
  <c r="B13" i="18"/>
  <c r="B14" i="18" s="1"/>
  <c r="B21" i="18" s="1"/>
  <c r="A55" i="18"/>
  <c r="H38" i="18"/>
  <c r="A49" i="18"/>
  <c r="A40" i="18"/>
  <c r="H31" i="18"/>
  <c r="A32" i="18"/>
  <c r="H30" i="18"/>
  <c r="A39" i="18"/>
  <c r="B20" i="18"/>
  <c r="H48" i="18"/>
  <c r="B59" i="18" l="1"/>
  <c r="H65" i="18"/>
  <c r="A50" i="18"/>
  <c r="H49" i="18"/>
  <c r="A57" i="18"/>
  <c r="H40" i="18"/>
  <c r="H39" i="18"/>
  <c r="A56" i="18"/>
  <c r="H50" i="18" l="1"/>
  <c r="D43" i="16" l="1"/>
  <c r="C43" i="16"/>
  <c r="D42" i="16"/>
  <c r="D40" i="16"/>
  <c r="F45" i="16"/>
  <c r="G40" i="16" l="1"/>
  <c r="G41" i="16"/>
  <c r="G42" i="16"/>
  <c r="G43" i="16"/>
  <c r="G45" i="16" s="1"/>
  <c r="H45" i="16" s="1"/>
  <c r="G47" i="16" l="1"/>
  <c r="M114" i="15"/>
  <c r="P114" i="15" s="1"/>
  <c r="E109" i="15"/>
  <c r="D109" i="15"/>
  <c r="F108" i="15"/>
  <c r="E108" i="15"/>
  <c r="D108" i="15"/>
  <c r="J107" i="15"/>
  <c r="K107" i="15" s="1"/>
  <c r="E107" i="15"/>
  <c r="D107" i="15"/>
  <c r="H107" i="15" s="1"/>
  <c r="F94" i="15"/>
  <c r="F91" i="15"/>
  <c r="E80" i="15"/>
  <c r="E79" i="15"/>
  <c r="G62" i="15"/>
  <c r="G61" i="15"/>
  <c r="G60" i="15"/>
  <c r="D55" i="15"/>
  <c r="D65" i="15" s="1"/>
  <c r="D80" i="15" s="1"/>
  <c r="E64" i="15"/>
  <c r="D54" i="15"/>
  <c r="F53" i="15"/>
  <c r="F63" i="15" s="1"/>
  <c r="D78" i="15" s="1"/>
  <c r="F52" i="15"/>
  <c r="F51" i="15" s="1"/>
  <c r="G28" i="15"/>
  <c r="F86" i="15" s="1"/>
  <c r="G27" i="15"/>
  <c r="G26" i="15"/>
  <c r="F85" i="15" s="1"/>
  <c r="F95" i="15" s="1"/>
  <c r="G25" i="15"/>
  <c r="F109" i="15" l="1"/>
  <c r="G109" i="15" s="1"/>
  <c r="G108" i="15"/>
  <c r="F84" i="15"/>
  <c r="M113" i="15" s="1"/>
  <c r="D64" i="15"/>
  <c r="D53" i="15"/>
  <c r="G48" i="16"/>
  <c r="H47" i="16"/>
  <c r="F62" i="15"/>
  <c r="D52" i="15"/>
  <c r="D62" i="15" s="1"/>
  <c r="G70" i="15"/>
  <c r="E53" i="15"/>
  <c r="E63" i="15" s="1"/>
  <c r="J109" i="15"/>
  <c r="K109" i="15" s="1"/>
  <c r="E70" i="15"/>
  <c r="D79" i="15"/>
  <c r="M115" i="15"/>
  <c r="P113" i="15"/>
  <c r="P115" i="15" s="1"/>
  <c r="F61" i="15"/>
  <c r="F50" i="15"/>
  <c r="F60" i="15" s="1"/>
  <c r="G68" i="15" s="1"/>
  <c r="H109" i="15"/>
  <c r="D63" i="15"/>
  <c r="H108" i="15"/>
  <c r="J108" i="15"/>
  <c r="K108" i="15" s="1"/>
  <c r="E52" i="15" l="1"/>
  <c r="F96" i="15"/>
  <c r="F97" i="15" s="1"/>
  <c r="M112" i="15" s="1"/>
  <c r="P112" i="15" s="1"/>
  <c r="G69" i="15"/>
  <c r="G71" i="15" s="1"/>
  <c r="F70" i="15" l="1"/>
  <c r="E69" i="15"/>
  <c r="E62" i="15"/>
  <c r="E51" i="15"/>
  <c r="E61" i="15" s="1"/>
  <c r="G73" i="15"/>
  <c r="F78" i="15" s="1"/>
  <c r="G78" i="15" s="1"/>
  <c r="H78" i="15" s="1"/>
  <c r="I78" i="15" s="1"/>
  <c r="I107" i="15" s="1"/>
  <c r="L107" i="15" s="1"/>
  <c r="M107" i="15" l="1"/>
  <c r="F69" i="15"/>
  <c r="F71" i="15" s="1"/>
  <c r="F73" i="15" s="1"/>
  <c r="F79" i="15" s="1"/>
  <c r="G79" i="15" s="1"/>
  <c r="H79" i="15" s="1"/>
  <c r="I79" i="15" s="1"/>
  <c r="I108" i="15" s="1"/>
  <c r="E73" i="15"/>
  <c r="L108" i="15" l="1"/>
  <c r="F80" i="15"/>
  <c r="G80" i="15" s="1"/>
  <c r="H80" i="15" s="1"/>
  <c r="I80" i="15" s="1"/>
  <c r="I109" i="15" s="1"/>
  <c r="L109" i="15" s="1"/>
  <c r="M108" i="15" l="1"/>
  <c r="P111" i="15"/>
  <c r="M109" i="15"/>
  <c r="M111" i="15" s="1"/>
  <c r="M116" i="15" s="1"/>
  <c r="P116" i="15"/>
  <c r="G22" i="4" l="1"/>
  <c r="G21" i="4"/>
  <c r="G20" i="4"/>
  <c r="G19" i="4"/>
  <c r="F48" i="13"/>
  <c r="E48" i="13"/>
  <c r="D48" i="13"/>
  <c r="G48" i="13" s="1"/>
  <c r="F42" i="13"/>
  <c r="E42" i="13"/>
  <c r="D42" i="13"/>
  <c r="G42" i="13" s="1"/>
  <c r="F36" i="13"/>
  <c r="E36" i="13"/>
  <c r="D36" i="13"/>
  <c r="G36" i="13" s="1"/>
  <c r="F27" i="13"/>
  <c r="G27" i="13" s="1"/>
  <c r="E27" i="13"/>
  <c r="G29" i="13" l="1"/>
  <c r="G30" i="13" s="1"/>
  <c r="G50" i="13" s="1"/>
  <c r="B54" i="13" s="1"/>
</calcChain>
</file>

<file path=xl/sharedStrings.xml><?xml version="1.0" encoding="utf-8"?>
<sst xmlns="http://schemas.openxmlformats.org/spreadsheetml/2006/main" count="689" uniqueCount="310">
  <si>
    <t>1 point</t>
  </si>
  <si>
    <t>Given the below table of data, select the best exposure base to use in rating.</t>
  </si>
  <si>
    <t>Policy</t>
  </si>
  <si>
    <t>Sales</t>
  </si>
  <si>
    <t>Number of Products</t>
  </si>
  <si>
    <t>Number of Employees</t>
  </si>
  <si>
    <t>Payroll</t>
  </si>
  <si>
    <t>Losses</t>
  </si>
  <si>
    <t>Unknown</t>
  </si>
  <si>
    <t>a)</t>
  </si>
  <si>
    <t>b)</t>
  </si>
  <si>
    <t>c)</t>
  </si>
  <si>
    <t>d)</t>
  </si>
  <si>
    <t>2.25 points</t>
  </si>
  <si>
    <t>1.75 points</t>
  </si>
  <si>
    <t>Item 2 (a) = 1.75 points</t>
  </si>
  <si>
    <t>Calculate the variable permissible loss ratio using the premium-based projection method.</t>
  </si>
  <si>
    <t>Item 3 (b) = 0.5 point</t>
  </si>
  <si>
    <t>% Assumed</t>
  </si>
  <si>
    <t>The information below will be used for both Item 2 and Item 3.</t>
  </si>
  <si>
    <t>Countrywide</t>
  </si>
  <si>
    <t>(000s)</t>
  </si>
  <si>
    <t>Fixed</t>
  </si>
  <si>
    <t>Please show all work, if applicable.</t>
  </si>
  <si>
    <t>Written Premium</t>
  </si>
  <si>
    <t>Earned Premium</t>
  </si>
  <si>
    <t>Given the following calendar year information:</t>
  </si>
  <si>
    <t>General Expense</t>
  </si>
  <si>
    <t>Other Acquisition</t>
  </si>
  <si>
    <t>Taxes, Licenses, and Fees</t>
  </si>
  <si>
    <t>Commission and Brokerage</t>
  </si>
  <si>
    <t>Profit Provision</t>
  </si>
  <si>
    <t xml:space="preserve">SHOW ALL WORK. </t>
  </si>
  <si>
    <t>Item 2 (a): 1.75 points</t>
  </si>
  <si>
    <t>Item 3 (b): 0.5 point</t>
  </si>
  <si>
    <t>For the premium-based expense projection method, briefly describe:</t>
  </si>
  <si>
    <t>i. one distortion of the premium-based projection method caused by a rate increase effective December 1, 2019.</t>
  </si>
  <si>
    <t>ii. a solution to the distortion described.</t>
  </si>
  <si>
    <t>0.5 point</t>
  </si>
  <si>
    <t>6 points</t>
  </si>
  <si>
    <t>Given the following information:</t>
  </si>
  <si>
    <t>Annual Fixed Expense Trend</t>
  </si>
  <si>
    <t>Paid Loss as of (months)</t>
  </si>
  <si>
    <t>Annual Premium Trend</t>
  </si>
  <si>
    <t>Accident Year</t>
  </si>
  <si>
    <t>Annual Frequency Trend</t>
  </si>
  <si>
    <t>Annual Severity Trend</t>
  </si>
  <si>
    <t>ULAE Factor (to Loss and ALAE)</t>
  </si>
  <si>
    <t>Expense Category</t>
  </si>
  <si>
    <t>2021-2023</t>
  </si>
  <si>
    <t>Percent Fixed</t>
  </si>
  <si>
    <t>General Expenses</t>
  </si>
  <si>
    <t>Other Acquisition Expenses</t>
  </si>
  <si>
    <t>Open Claim Count as of (months)</t>
  </si>
  <si>
    <t>Commissions</t>
  </si>
  <si>
    <t>Taxes, Licenses, &amp; Fees</t>
  </si>
  <si>
    <t>Calendar/Accident Year</t>
  </si>
  <si>
    <t>Earned Exposures</t>
  </si>
  <si>
    <t>Written Exposures</t>
  </si>
  <si>
    <t>Average Case</t>
  </si>
  <si>
    <t>Expected Claims Method</t>
  </si>
  <si>
    <t>Outstanding</t>
  </si>
  <si>
    <t>Ultimate Loss</t>
  </si>
  <si>
    <t>2023 @ 12 months</t>
  </si>
  <si>
    <t>•  Assume no rate changes have occurred.</t>
  </si>
  <si>
    <t>2022 @ 24 months</t>
  </si>
  <si>
    <t>•  Losses do not develop beyond 48 months.</t>
  </si>
  <si>
    <t>2021 @ 36 months</t>
  </si>
  <si>
    <t>•  Expenses use the exposure-based projection method.</t>
  </si>
  <si>
    <t>•  General Expenses are incurred throughout the policy term, all other expenses are incurred at the start of the policy period.</t>
  </si>
  <si>
    <t>•  Exposures are written evenly throughout the year.</t>
  </si>
  <si>
    <t>•  All policies are annual.</t>
  </si>
  <si>
    <t>•  Rates will be in effect for one year starting January 1, 2025.</t>
  </si>
  <si>
    <t>Calculate the indicated rate change using the Bornhuetter-Ferguson method for the latest 3 accident years, including the Berquist-Sherman adjustment for case outstanding.</t>
  </si>
  <si>
    <t>Enter your final response in cell N34</t>
  </si>
  <si>
    <t>SHOW ALL WORK:</t>
  </si>
  <si>
    <t>Given the following:</t>
  </si>
  <si>
    <t>Partial credibility is determined based on the square root rule.</t>
  </si>
  <si>
    <t>The experience rating plan for an insurance company uses 3 years of unlimited loss and allocated loss adjustment expenses (ALAE).</t>
  </si>
  <si>
    <t>The insured's policy renews each year on January 1.</t>
  </si>
  <si>
    <t>Calculate the premium for policy year 2019 using experience rating.</t>
  </si>
  <si>
    <t>Insured's Experience</t>
  </si>
  <si>
    <t>Earned</t>
  </si>
  <si>
    <t>Car</t>
  </si>
  <si>
    <t>Manual</t>
  </si>
  <si>
    <t>Ultimate</t>
  </si>
  <si>
    <t>Policy Year</t>
  </si>
  <si>
    <t>Revenues</t>
  </si>
  <si>
    <t>Years</t>
  </si>
  <si>
    <t>Premium</t>
  </si>
  <si>
    <t>Loss &amp; ALAE</t>
  </si>
  <si>
    <t>Total</t>
  </si>
  <si>
    <t>Earned car years for full credibility standard</t>
  </si>
  <si>
    <t>Annual loss and ALAE trend</t>
  </si>
  <si>
    <t>Expected loss and ALAE ratio underlying manual rates</t>
  </si>
  <si>
    <t>Policy year 2019 manual premium</t>
  </si>
  <si>
    <t>Identify which of the following are benefits of using multivariate methods over univariate methods. (Select 3 options.)</t>
  </si>
  <si>
    <t>Multivariate methods are simple to construct and understand.</t>
  </si>
  <si>
    <t>Multivariate methods require little interaction from the modeler.</t>
  </si>
  <si>
    <t>Multivariate methods allow for consideration of the interaction between two or more rating variables.</t>
  </si>
  <si>
    <t>Multivariate methods provide a variety of statistical diagnostics.</t>
  </si>
  <si>
    <t>e)</t>
  </si>
  <si>
    <t>Multivariate methods attempt to capture only systematic effects in the data.</t>
  </si>
  <si>
    <t>Item 6 (a) = 1.75 points</t>
  </si>
  <si>
    <t>Estimate the cumulative reported claims for accident year 2023 at 24 months of development using the incremental paid to previous case outstanding technique.</t>
  </si>
  <si>
    <t>Item 7 (b) = 0.5 point</t>
  </si>
  <si>
    <t>Accident</t>
  </si>
  <si>
    <t>Cumulative Reported Claims as of (months)</t>
  </si>
  <si>
    <t>The information below will be used for both Item 6 and Item 7.</t>
  </si>
  <si>
    <t>Year</t>
  </si>
  <si>
    <t>Cumulative Paid Claims as of (months)</t>
  </si>
  <si>
    <t>Enter your final response in cell O17</t>
  </si>
  <si>
    <t>SHOW ALL WORK.</t>
  </si>
  <si>
    <t>Item 6 (a): 1.75 points</t>
  </si>
  <si>
    <t>Item 7 (b): 0.5 point</t>
  </si>
  <si>
    <t>Describe a situation where the incremental paid to previous case outstanding technique is not applicable.</t>
  </si>
  <si>
    <t>Describe a situation where the incremental paid to previous case outstanding technique is not appropriate.</t>
  </si>
  <si>
    <t xml:space="preserve">   </t>
  </si>
  <si>
    <t>Given the following as of December 31, 2024:</t>
  </si>
  <si>
    <t>Earned Premium (000s)</t>
  </si>
  <si>
    <t>Reported Claims (000s)</t>
  </si>
  <si>
    <t>Cumulative Percent Reported</t>
  </si>
  <si>
    <t>Paid Claims (000s)</t>
  </si>
  <si>
    <t>Cumulative Percent Paid</t>
  </si>
  <si>
    <t>The expected claims ratio used for estimating ultimate claims is 70%.</t>
  </si>
  <si>
    <t>Order the following estimates for accident year 2024 ultimate claims from low (1) to high (5).</t>
  </si>
  <si>
    <t>Identify the scenarios for which the expected claims technique would be most appropriate. (Select 3 options.)</t>
  </si>
  <si>
    <t>When historical exposure and premium data are not available while consistent, credible loss data is available.</t>
  </si>
  <si>
    <t>When estimating ultimates at early maturities for long-tailed lines of business where the early age-to-ultimate factors are highly leveraged.</t>
  </si>
  <si>
    <t>When operational or environmental changes make historical data irrelevant for projecting ultimate claims.</t>
  </si>
  <si>
    <t>When estimating ultimates for short-tailed lines of business where claims are reported quickly and expected claims ratios are easier to calculate.</t>
  </si>
  <si>
    <t>When entering a new line of business, as there is insufficient data to obtain historical development factors.</t>
  </si>
  <si>
    <t>Points:</t>
  </si>
  <si>
    <t>Item Type:</t>
  </si>
  <si>
    <t>multiple choice</t>
  </si>
  <si>
    <t>Domain:</t>
  </si>
  <si>
    <t>Ratemaking</t>
  </si>
  <si>
    <t>Task:</t>
  </si>
  <si>
    <t>A 2 (Evaluate and select an exposure base in a given scenario for use in the ratemaking process (e.g., line of business, use cases).)</t>
  </si>
  <si>
    <t>Reference:</t>
  </si>
  <si>
    <t>Basic Ratemaking, 5th edition (May 2016) Werner, G. &amp; Modlin, C./Casualty Actuarial Society/Chapter 4/Pages 49-50</t>
  </si>
  <si>
    <t>Solution: Evaluate whether the different exposures bases are proportional to losses</t>
  </si>
  <si>
    <t>Ratio to Losses</t>
  </si>
  <si>
    <t>Sales 
(per 1,000)</t>
  </si>
  <si>
    <t>Payroll (per 100)</t>
  </si>
  <si>
    <t>Not directly proportional</t>
  </si>
  <si>
    <t>Directly proportional, but missing some data</t>
  </si>
  <si>
    <t>Directly Proportional, correct answer</t>
  </si>
  <si>
    <t>spreadsheet w/case</t>
  </si>
  <si>
    <t>A 9 (Calculate the underwriting provisions underlying the overall rate level indication (e.g., fixed and variable expenses, profit and contingency, reinsurance costs).</t>
  </si>
  <si>
    <t>Basic Ratemaking, 5th edition (May 2016) Werner, G. &amp; Modlin, C./Casualty Actuarial Society/7/130-134</t>
  </si>
  <si>
    <t>Taxes, License, and Fees</t>
  </si>
  <si>
    <t xml:space="preserve">•    Profit Provision = 3% </t>
  </si>
  <si>
    <t>Calculate the variable permissible loss ratio using premium-based projection method.</t>
  </si>
  <si>
    <t>Given the trend in General Expenses, a 1 yr avg is selected since such expenses tend to be more like fixed expenses and not perfectly correlated with premium</t>
  </si>
  <si>
    <t>Solution:</t>
  </si>
  <si>
    <t>a</t>
  </si>
  <si>
    <t>Selection</t>
  </si>
  <si>
    <t>Ratio (b/a)</t>
  </si>
  <si>
    <t>% Assumed Fixed</t>
  </si>
  <si>
    <t>Fixed Expense %</t>
  </si>
  <si>
    <t>c×d</t>
  </si>
  <si>
    <t>Variable Expense %</t>
  </si>
  <si>
    <t>c-e</t>
  </si>
  <si>
    <t>Ratio (h/g)</t>
  </si>
  <si>
    <t>Ratio (j/i)</t>
  </si>
  <si>
    <t>Commission</t>
  </si>
  <si>
    <t>Ratio (l/k)</t>
  </si>
  <si>
    <t>Total Variable Expense Ratio</t>
  </si>
  <si>
    <t>VPLR=1-V-Q</t>
  </si>
  <si>
    <t>constructed response w/case</t>
  </si>
  <si>
    <t>Question 2 (b): 0.5 point</t>
  </si>
  <si>
    <t>Candidates were expected to provide a brief description of impact of recent rate increase and a valid solution (no credit is given if distortion discussed are not related to rate increase)  (WM p.132 -136)</t>
  </si>
  <si>
    <t>Recent rate increase in 2019 tends to overstate the expected fixed expenses, as fixed expense ratio are based on earned premium during the historical period and would not increase with rate changes.</t>
  </si>
  <si>
    <t>An exposure based projection may be more appropriate in such a scenario.</t>
  </si>
  <si>
    <t>spreadsheet</t>
  </si>
  <si>
    <t>A 11 (Construct an overall rate level indication using the pure premium and loss ratio methods.)</t>
  </si>
  <si>
    <t>Basic Ratemaking, 5th edition (May 2016) Werner, G. &amp; Modlin, C./Casualty Actuarial Society/Ch 15</t>
  </si>
  <si>
    <t>Estimating Unpaid Claims Using Basic Techniques, 3rd edition (July 2010) Friedland, J.F./Casualty Actuarial Society</t>
  </si>
  <si>
    <t>Selections based on weighted avg LDFs would also be accpted.</t>
  </si>
  <si>
    <t>Adjusted Reported Loss Triangle</t>
  </si>
  <si>
    <t>(Friedland 286, 297-300)</t>
  </si>
  <si>
    <t>Average case outstanding (adjusted)</t>
  </si>
  <si>
    <t>Months of Development</t>
  </si>
  <si>
    <t>Adjusted Reported Losses</t>
  </si>
  <si>
    <t>Calendar Year</t>
  </si>
  <si>
    <t>12-24</t>
  </si>
  <si>
    <t>24-36</t>
  </si>
  <si>
    <t>36-48</t>
  </si>
  <si>
    <t>age to age factor</t>
  </si>
  <si>
    <t>3 year average</t>
  </si>
  <si>
    <t>Selected</t>
  </si>
  <si>
    <t>CDF</t>
  </si>
  <si>
    <t>12-ult</t>
  </si>
  <si>
    <t>24-ult</t>
  </si>
  <si>
    <t>36-ult</t>
  </si>
  <si>
    <t xml:space="preserve">Bornhuetter-Ferguson Method </t>
  </si>
  <si>
    <t>Friedland Ch 9</t>
  </si>
  <si>
    <t xml:space="preserve">Expected Claims Method </t>
  </si>
  <si>
    <t>Adjusted Reported Loss</t>
  </si>
  <si>
    <t>Ult Loss</t>
  </si>
  <si>
    <t>CDF to Ultimate</t>
  </si>
  <si>
    <t>% unreported</t>
  </si>
  <si>
    <t>Expected Unreported</t>
  </si>
  <si>
    <t>Ultimate BF Losses</t>
  </si>
  <si>
    <t>Exposure-based projection method</t>
  </si>
  <si>
    <t>(Werner-Modlin, 133-134)</t>
  </si>
  <si>
    <t>Variable Expense Ratio</t>
  </si>
  <si>
    <t>Untrended General Expense Provision</t>
  </si>
  <si>
    <t>Untrended Other Acq Provision</t>
  </si>
  <si>
    <t>Trend period for General Expense</t>
  </si>
  <si>
    <t>midpoint of CY data</t>
  </si>
  <si>
    <t>average earned date</t>
  </si>
  <si>
    <t>trend period</t>
  </si>
  <si>
    <t>Trend period for Other Acq</t>
  </si>
  <si>
    <t>average written date</t>
  </si>
  <si>
    <t>Fixed Expense Dollar Provision</t>
  </si>
  <si>
    <t>Projected Average Premium</t>
  </si>
  <si>
    <t>Fixed Expense Ratio</t>
  </si>
  <si>
    <t>Trend Period</t>
  </si>
  <si>
    <t>Rates in effect</t>
  </si>
  <si>
    <t>1/1/2025 - 12/31/2025</t>
  </si>
  <si>
    <t>Average Policy Written</t>
  </si>
  <si>
    <t>Average Earned Date 1/1/2025</t>
  </si>
  <si>
    <t>(Werner-Modlin, Appendix A)</t>
  </si>
  <si>
    <t>Premium Trend Factor</t>
  </si>
  <si>
    <t>Projected EP</t>
  </si>
  <si>
    <t>Ultimate Loss &amp; ALAE</t>
  </si>
  <si>
    <t>Loss Trend Period</t>
  </si>
  <si>
    <t>Loss Trend Factor</t>
  </si>
  <si>
    <t>Ultimate Loss &amp; LAE</t>
  </si>
  <si>
    <t>Projected Loss &amp; LAE Ratio</t>
  </si>
  <si>
    <t>alt solution</t>
  </si>
  <si>
    <t>wgtd avg</t>
  </si>
  <si>
    <t>Selected Loss &amp; LAE Ratio</t>
  </si>
  <si>
    <t>Fixed Expense Provision</t>
  </si>
  <si>
    <t>Variable Expense Provision</t>
  </si>
  <si>
    <t>Variable Permissible Loss Ratio</t>
  </si>
  <si>
    <t>Indicated Rate Change</t>
  </si>
  <si>
    <t>A 14 (Perform calculations related to alternative ratemaking procedures (e.g., classification, territory, deductibles, increased limits, coinsurance, commercial lines rating mechanisms, etc.))</t>
  </si>
  <si>
    <t>Basic Ratemaking, 5th edition (May 2016) Werner, G. &amp; Modlin, C./Casualty Actuarial Society</t>
  </si>
  <si>
    <t>•    Partial credibility is determined based on the square root rule.</t>
  </si>
  <si>
    <t>•    The experience rating plan for an insurance company uses 3 years of unlimited loss and ALAE.</t>
  </si>
  <si>
    <t>•    The insured's policy renews each year on January 1.</t>
  </si>
  <si>
    <t>Expected Losses =  70% x $1,500,000</t>
  </si>
  <si>
    <t>Trended Losses</t>
  </si>
  <si>
    <t>Trend</t>
  </si>
  <si>
    <t>Trended</t>
  </si>
  <si>
    <t>Exposures</t>
  </si>
  <si>
    <t>L&amp;ALAE</t>
  </si>
  <si>
    <t>Experience Ratio</t>
  </si>
  <si>
    <t>/</t>
  </si>
  <si>
    <t>Credibility</t>
  </si>
  <si>
    <t>sqrt(300 / 2,000)</t>
  </si>
  <si>
    <t>Experience Mod</t>
  </si>
  <si>
    <t>Z x Experience Ratio + (1-Z)</t>
  </si>
  <si>
    <t>2019 Premium</t>
  </si>
  <si>
    <t>1.1036 x Manual Premium</t>
  </si>
  <si>
    <t>multiple response</t>
  </si>
  <si>
    <t>A 15 (Analyze results of predictive models (e.g., GLM).)</t>
  </si>
  <si>
    <t>Basic Ratemaking, 5th edition (May 2016) Werner, G. &amp; Modlin, C./Casualty Actuarial Society/10/174-175; 183</t>
  </si>
  <si>
    <t>Reserving</t>
  </si>
  <si>
    <t>B 9 (Calculate and evaluate unpaid loss estimation techniques (i.e., development/chain ladder, case outstanding development, expected losses, Bornhuetter-Ferguson, Cape Code, frequency-severity, Berquist-Sherman, Benktander)).</t>
  </si>
  <si>
    <t xml:space="preserve">Estimate the cumulative reported claims for accident year 2023 at 24 months of </t>
  </si>
  <si>
    <t>development using the incremental paid to previous case outstanding technique.</t>
  </si>
  <si>
    <t>Solution 1:</t>
  </si>
  <si>
    <t>Solution 2:</t>
  </si>
  <si>
    <t>Case Outstanding</t>
  </si>
  <si>
    <t>Reported Claims Age to Age Factors</t>
  </si>
  <si>
    <t>straight avg.</t>
  </si>
  <si>
    <t>cumulative</t>
  </si>
  <si>
    <t>Paid Claims Age to Age Factors</t>
  </si>
  <si>
    <t>Incremental Paid Loss</t>
  </si>
  <si>
    <t>Case Outstanding Development Factor for AY2023</t>
  </si>
  <si>
    <t>Incremental Paid to Case Oustanding</t>
  </si>
  <si>
    <t>Unpaid Amount for AY2023</t>
  </si>
  <si>
    <t>AY2023 Ultimate Loss</t>
  </si>
  <si>
    <t>Use AvE formula to get expected reported in next period</t>
  </si>
  <si>
    <t>AY 2023</t>
  </si>
  <si>
    <t>Cumulative reported at 24 months</t>
  </si>
  <si>
    <t>Incremental Paid</t>
  </si>
  <si>
    <t>Cumulative Reported</t>
  </si>
  <si>
    <t>Estimating Unpaid Claims Using Basic Techniques, 3rd edition (July 2010) Friedland, J.F./Casualty Actuarial Society/Ch 12/265-267</t>
  </si>
  <si>
    <t>In cases where there are many late reported claims, the technique may not be appropriate because a key assumption is that IBNR is related to claims already reported.</t>
  </si>
  <si>
    <t>When the IBNR is not closely related to case reserves. Since the estimate of IBNR is derived upon the case reserve amounts, if this relationship is not appropriate the method will NOT produce a reasonable estimate.</t>
  </si>
  <si>
    <t>Both responses are acceptable.</t>
  </si>
  <si>
    <t>enhanced matching</t>
  </si>
  <si>
    <t>Candidates should note:</t>
  </si>
  <si>
    <t>Reported to date</t>
  </si>
  <si>
    <t>Paid to date</t>
  </si>
  <si>
    <t>Paid to date = Reported to date</t>
  </si>
  <si>
    <t>With this information we know that Paid estimates will be higher than reported estimates.</t>
  </si>
  <si>
    <t>Additionally, reported to date at 40% with 50% expected reported means the Reported Development Technique would produce an 80% ultimate loss ratio.</t>
  </si>
  <si>
    <t>Expected Claims Technique will clearly be the lowest</t>
  </si>
  <si>
    <t>B-F methods will be lower than Development Techniques</t>
  </si>
  <si>
    <t>Need to figure out if Reported Development Technique is higher than Paid B-F</t>
  </si>
  <si>
    <t>Rep Dev Technique</t>
  </si>
  <si>
    <t>Paid B-F</t>
  </si>
  <si>
    <t>From here we have the following ranking from low to high</t>
  </si>
  <si>
    <t>Candidates could also calculate all of these (via scratch pad).</t>
  </si>
  <si>
    <t>Expected Claim Technique</t>
  </si>
  <si>
    <t>Reported B-F</t>
  </si>
  <si>
    <t>Reported Dev Technique</t>
  </si>
  <si>
    <t>Paid Dev Technique.</t>
  </si>
  <si>
    <t>B 10 (Assess the influence of operating changes on the estimation of unpaid losses (e.g., claims coding and/or claim-related expenses, claims processing, underwriting and policy provisions, marketing, reinsurance, treatment of recoveries such as deductibles and salvage and subrogation)).</t>
  </si>
  <si>
    <t>Estimating Unpaid Claims Using Basic Techniques, 3rd edition (July 2010) Friedland, J.F./Casualty Actuarial Society/Ch 8/131</t>
  </si>
  <si>
    <t>Solution Notes:</t>
  </si>
  <si>
    <t>a - The presence of consistent, credible loss data would allow for the use of other methods such as the development technique.</t>
  </si>
  <si>
    <t>b,c,e - are the classic scenarios Friedland touches on for when an actuary may need to rely more heavily on the expected claims technique.</t>
  </si>
  <si>
    <t>d - Using the expectd claims technique on short tailed lines may result in ingoring emerging trends in the data. In this scenario, most other method provide stable and more responsive estimates of unpaid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</si>
</sst>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00"/>
    <numFmt numFmtId="166" formatCode="_(* #,##0.00_);_(* \(#,##0.00\);_(* \-??_);_(@_)"/>
    <numFmt numFmtId="167" formatCode="_(* #,##0_);_(* \(#,##0\);_(* \-???_);_(@_)"/>
    <numFmt numFmtId="168" formatCode="_(* #,##0_);_(* \(#,##0\);_(* \-??_);_(@_)"/>
    <numFmt numFmtId="169" formatCode="\$#,##0_);[Red]&quot;($&quot;#,##0\)"/>
    <numFmt numFmtId="170" formatCode="0.0000"/>
    <numFmt numFmtId="171" formatCode="#,##0.000_);\(#,##0.000\)"/>
    <numFmt numFmtId="172" formatCode="_(* #,##0_);_(* \(#,##0\);_(* &quot;-&quot;??_);_(@_)"/>
    <numFmt numFmtId="173" formatCode="_(* #,##0.0_);_(* \(#,##0.0\);_(* &quot;-&quot;??_);_(@_)"/>
    <numFmt numFmtId="174" formatCode="&quot;$&quot;#,##0"/>
    <numFmt numFmtId="175" formatCode="_(* #,##0.000_);_(* \(#,##0.000\);_(* &quot;-&quot;??_);_(@_)"/>
  </numFmts>
  <fonts count="27">
    <font>
      <sz val="11"/>
      <color theme="1"/>
      <name val="Aptos Narrow"/>
      <family val="2"/>
      <scheme val="minor"/>
    </font>
    <font>
      <sz val="11"/>
      <color theme="1"/>
      <name val="Calibri"/>
      <family val="2"/>
    </font>
    <font>
      <b/>
      <sz val="11"/>
      <color theme="1"/>
      <name val="Calibri"/>
      <family val="2"/>
    </font>
    <font>
      <sz val="11"/>
      <color theme="1"/>
      <name val="Aptos Narrow"/>
      <family val="2"/>
      <scheme val="minor"/>
    </font>
    <font>
      <sz val="12"/>
      <color rgb="FF000000"/>
      <name val="Inherit"/>
    </font>
    <font>
      <b/>
      <sz val="12"/>
      <color rgb="FF000000"/>
      <name val="Inherit"/>
    </font>
    <font>
      <sz val="11"/>
      <color rgb="FF000000"/>
      <name val="Calibri"/>
      <family val="2"/>
      <charset val="1"/>
    </font>
    <font>
      <sz val="12"/>
      <color theme="1"/>
      <name val="Arial"/>
      <family val="2"/>
    </font>
    <font>
      <sz val="11"/>
      <name val="Calibri"/>
      <family val="2"/>
    </font>
    <font>
      <b/>
      <sz val="11"/>
      <name val="Calibri"/>
      <family val="2"/>
    </font>
    <font>
      <sz val="11"/>
      <color rgb="FF000000"/>
      <name val="Calibri"/>
      <family val="2"/>
    </font>
    <font>
      <b/>
      <sz val="11"/>
      <color rgb="FF000000"/>
      <name val="Calibri"/>
      <family val="2"/>
    </font>
    <font>
      <u/>
      <sz val="11"/>
      <name val="Calibri"/>
      <family val="2"/>
    </font>
    <font>
      <sz val="11"/>
      <color theme="4" tint="-0.249977111117893"/>
      <name val="Calibri"/>
      <family val="2"/>
    </font>
    <font>
      <sz val="11"/>
      <color rgb="FFFF0000"/>
      <name val="Calibri"/>
      <family val="2"/>
    </font>
    <font>
      <b/>
      <sz val="11"/>
      <color rgb="FF0070C0"/>
      <name val="Calibri"/>
      <family val="2"/>
    </font>
    <font>
      <sz val="11"/>
      <color rgb="FF0070C0"/>
      <name val="Calibri"/>
      <family val="2"/>
    </font>
    <font>
      <b/>
      <sz val="11"/>
      <color theme="4" tint="-0.249977111117893"/>
      <name val="Calibri"/>
      <family val="2"/>
    </font>
    <font>
      <u/>
      <sz val="11"/>
      <color theme="1"/>
      <name val="Calibri"/>
      <family val="2"/>
    </font>
    <font>
      <sz val="11"/>
      <color theme="4"/>
      <name val="Calibri"/>
      <family val="2"/>
    </font>
    <font>
      <sz val="11"/>
      <color theme="0"/>
      <name val="Calibri"/>
      <family val="2"/>
    </font>
    <font>
      <b/>
      <sz val="11"/>
      <color rgb="FFFF0000"/>
      <name val="Calibri"/>
      <family val="2"/>
    </font>
    <font>
      <b/>
      <sz val="11"/>
      <color theme="0"/>
      <name val="Calibri"/>
      <family val="2"/>
    </font>
    <font>
      <u val="singleAccounting"/>
      <sz val="11"/>
      <color theme="1"/>
      <name val="Calibri"/>
      <family val="2"/>
    </font>
    <font>
      <u/>
      <sz val="11"/>
      <color theme="4" tint="-0.249977111117893"/>
      <name val="Calibri"/>
      <family val="2"/>
    </font>
    <font>
      <b/>
      <sz val="11"/>
      <color theme="1"/>
      <name val="Aptos Narrow"/>
      <family val="2"/>
      <scheme val="minor"/>
    </font>
    <font>
      <sz val="11"/>
      <color theme="4" tint="-0.249977111117893"/>
      <name val="Aptos Narrow"/>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FFFF"/>
        <bgColor indexed="64"/>
      </patternFill>
    </fill>
    <fill>
      <patternFill patternType="solid">
        <fgColor rgb="FF92D050"/>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auto="1"/>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rgb="FF000000"/>
      </right>
      <top style="thin">
        <color rgb="FF000000"/>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s>
  <cellStyleXfs count="11">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6" fillId="0" borderId="0"/>
    <xf numFmtId="166" fontId="6" fillId="0" borderId="0" applyBorder="0" applyProtection="0"/>
    <xf numFmtId="0" fontId="7" fillId="0" borderId="0"/>
    <xf numFmtId="43" fontId="7" fillId="0" borderId="0" applyFont="0" applyFill="0" applyBorder="0" applyAlignment="0" applyProtection="0"/>
    <xf numFmtId="0" fontId="3" fillId="0" borderId="0"/>
    <xf numFmtId="9" fontId="7" fillId="0" borderId="0" applyFont="0" applyFill="0" applyBorder="0" applyAlignment="0" applyProtection="0"/>
    <xf numFmtId="0" fontId="3" fillId="0" borderId="0"/>
  </cellStyleXfs>
  <cellXfs count="531">
    <xf numFmtId="0" fontId="0" fillId="0" borderId="0" xfId="0"/>
    <xf numFmtId="0" fontId="1"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0" xfId="0" applyFont="1" applyFill="1"/>
    <xf numFmtId="0" fontId="1" fillId="2" borderId="6" xfId="0" applyFont="1" applyFill="1" applyBorder="1"/>
    <xf numFmtId="0" fontId="1" fillId="2" borderId="10"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1" fillId="3" borderId="1" xfId="0" applyFont="1" applyFill="1" applyBorder="1"/>
    <xf numFmtId="0" fontId="5" fillId="0" borderId="0" xfId="0" applyFont="1" applyAlignment="1">
      <alignment horizontal="left" vertical="center" wrapText="1"/>
    </xf>
    <xf numFmtId="0" fontId="4" fillId="0" borderId="0" xfId="0" applyFont="1" applyAlignment="1">
      <alignment horizontal="left" vertical="center" wrapText="1"/>
    </xf>
    <xf numFmtId="0" fontId="2" fillId="0" borderId="2" xfId="0" applyFont="1" applyBorder="1"/>
    <xf numFmtId="0" fontId="2" fillId="0" borderId="3" xfId="0" applyFont="1" applyBorder="1"/>
    <xf numFmtId="0" fontId="1" fillId="0" borderId="3" xfId="0" applyFont="1" applyBorder="1"/>
    <xf numFmtId="0" fontId="1" fillId="0" borderId="4" xfId="0" applyFont="1" applyBorder="1"/>
    <xf numFmtId="0" fontId="2" fillId="0" borderId="5" xfId="0" applyFont="1" applyBorder="1" applyAlignment="1">
      <alignment horizontal="right"/>
    </xf>
    <xf numFmtId="0" fontId="1" fillId="0" borderId="6" xfId="0" applyFont="1" applyBorder="1"/>
    <xf numFmtId="0" fontId="2" fillId="0" borderId="5" xfId="0" applyFont="1" applyBorder="1"/>
    <xf numFmtId="0" fontId="2" fillId="0" borderId="0" xfId="0" applyFont="1"/>
    <xf numFmtId="0" fontId="1" fillId="0" borderId="5" xfId="0" applyFont="1" applyBorder="1"/>
    <xf numFmtId="164" fontId="1" fillId="2" borderId="17" xfId="0" applyNumberFormat="1" applyFont="1" applyFill="1" applyBorder="1"/>
    <xf numFmtId="0" fontId="1" fillId="0" borderId="7" xfId="0" applyFont="1" applyBorder="1"/>
    <xf numFmtId="0" fontId="1" fillId="0" borderId="8" xfId="0" applyFont="1" applyBorder="1"/>
    <xf numFmtId="0" fontId="1" fillId="0" borderId="9" xfId="0" applyFont="1" applyBorder="1"/>
    <xf numFmtId="0" fontId="1" fillId="0" borderId="2" xfId="0" applyFont="1" applyBorder="1"/>
    <xf numFmtId="0" fontId="8" fillId="2" borderId="25" xfId="4" applyFont="1" applyFill="1" applyBorder="1" applyAlignment="1" applyProtection="1">
      <alignment horizontal="center"/>
      <protection locked="0"/>
    </xf>
    <xf numFmtId="0" fontId="8" fillId="2" borderId="16" xfId="3" applyFont="1" applyFill="1" applyBorder="1" applyAlignment="1" applyProtection="1">
      <alignment horizontal="center" wrapText="1"/>
      <protection locked="0"/>
    </xf>
    <xf numFmtId="0" fontId="8" fillId="2" borderId="10" xfId="3" applyFont="1" applyFill="1" applyBorder="1" applyAlignment="1" applyProtection="1">
      <alignment horizontal="center"/>
      <protection locked="0"/>
    </xf>
    <xf numFmtId="0" fontId="8" fillId="2" borderId="10" xfId="10" applyFont="1" applyFill="1" applyBorder="1" applyAlignment="1" applyProtection="1">
      <alignment horizontal="center" vertical="center" wrapText="1"/>
      <protection locked="0"/>
    </xf>
    <xf numFmtId="3" fontId="8" fillId="2" borderId="10" xfId="3" applyNumberFormat="1" applyFont="1" applyFill="1" applyBorder="1" applyAlignment="1" applyProtection="1">
      <alignment horizontal="center"/>
      <protection locked="0"/>
    </xf>
    <xf numFmtId="3" fontId="8" fillId="2" borderId="6" xfId="3" applyNumberFormat="1" applyFont="1" applyFill="1" applyBorder="1" applyAlignment="1" applyProtection="1">
      <alignment horizontal="center"/>
      <protection locked="0"/>
    </xf>
    <xf numFmtId="3" fontId="8" fillId="2" borderId="25" xfId="3" applyNumberFormat="1" applyFont="1" applyFill="1" applyBorder="1" applyAlignment="1" applyProtection="1">
      <alignment horizontal="center"/>
      <protection locked="0"/>
    </xf>
    <xf numFmtId="0" fontId="1" fillId="0" borderId="0" xfId="0" applyFont="1" applyAlignment="1">
      <alignment horizontal="center"/>
    </xf>
    <xf numFmtId="0" fontId="8" fillId="2" borderId="36" xfId="4" applyFont="1" applyFill="1" applyBorder="1" applyAlignment="1" applyProtection="1">
      <alignment horizontal="center"/>
      <protection locked="0"/>
    </xf>
    <xf numFmtId="0" fontId="8" fillId="2" borderId="15" xfId="3" applyFont="1" applyFill="1" applyBorder="1" applyAlignment="1" applyProtection="1">
      <alignment horizontal="center" wrapText="1"/>
      <protection locked="0"/>
    </xf>
    <xf numFmtId="0" fontId="8" fillId="2" borderId="17" xfId="10" applyFont="1" applyFill="1" applyBorder="1" applyAlignment="1" applyProtection="1">
      <alignment horizontal="center" vertical="center" wrapText="1"/>
      <protection locked="0"/>
    </xf>
    <xf numFmtId="0" fontId="8" fillId="2" borderId="5" xfId="3" applyFont="1" applyFill="1" applyBorder="1" applyAlignment="1" applyProtection="1">
      <alignment horizontal="center"/>
      <protection locked="0"/>
    </xf>
    <xf numFmtId="3" fontId="8" fillId="2" borderId="0" xfId="3" applyNumberFormat="1" applyFont="1" applyFill="1" applyAlignment="1" applyProtection="1">
      <alignment horizontal="center"/>
      <protection locked="0"/>
    </xf>
    <xf numFmtId="0" fontId="2" fillId="0" borderId="6" xfId="0" applyFont="1" applyBorder="1"/>
    <xf numFmtId="0" fontId="8" fillId="3" borderId="1" xfId="0" applyFont="1" applyFill="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8" fillId="2" borderId="0" xfId="3" applyFont="1" applyFill="1" applyAlignment="1" applyProtection="1">
      <alignment horizontal="center"/>
      <protection locked="0"/>
    </xf>
    <xf numFmtId="0" fontId="8" fillId="2" borderId="16" xfId="3" applyFont="1" applyFill="1" applyBorder="1" applyAlignment="1" applyProtection="1">
      <alignment horizontal="center" vertical="center" wrapText="1"/>
      <protection locked="0"/>
    </xf>
    <xf numFmtId="0" fontId="8" fillId="2" borderId="17" xfId="3" applyFont="1" applyFill="1" applyBorder="1" applyAlignment="1" applyProtection="1">
      <alignment horizontal="center" vertical="center" wrapText="1"/>
      <protection locked="0"/>
    </xf>
    <xf numFmtId="3" fontId="8" fillId="2" borderId="10" xfId="3" applyNumberFormat="1" applyFont="1" applyFill="1" applyBorder="1" applyAlignment="1" applyProtection="1">
      <alignment horizontal="center" vertical="center" wrapText="1"/>
      <protection locked="0"/>
    </xf>
    <xf numFmtId="0" fontId="8" fillId="2" borderId="10" xfId="3" applyFont="1" applyFill="1" applyBorder="1" applyAlignment="1" applyProtection="1">
      <alignment horizontal="right" vertical="center" wrapText="1"/>
      <protection locked="0"/>
    </xf>
    <xf numFmtId="3" fontId="8" fillId="2" borderId="10" xfId="3" applyNumberFormat="1" applyFont="1" applyFill="1" applyBorder="1" applyAlignment="1" applyProtection="1">
      <alignment horizontal="right" vertical="center" wrapText="1"/>
      <protection locked="0"/>
    </xf>
    <xf numFmtId="9" fontId="8" fillId="2" borderId="10" xfId="2" applyFont="1" applyFill="1" applyBorder="1" applyAlignment="1" applyProtection="1">
      <alignment horizontal="center" vertical="center" wrapText="1"/>
      <protection locked="0"/>
    </xf>
    <xf numFmtId="0" fontId="8" fillId="2" borderId="10" xfId="3"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protection locked="0"/>
    </xf>
    <xf numFmtId="0" fontId="1" fillId="2" borderId="10" xfId="0" applyFont="1" applyFill="1" applyBorder="1" applyAlignment="1" applyProtection="1">
      <alignment horizontal="center"/>
      <protection locked="0"/>
    </xf>
    <xf numFmtId="3" fontId="1" fillId="2" borderId="10" xfId="0" applyNumberFormat="1" applyFont="1" applyFill="1" applyBorder="1" applyAlignment="1" applyProtection="1">
      <alignment horizontal="center"/>
      <protection locked="0"/>
    </xf>
    <xf numFmtId="0" fontId="10" fillId="0" borderId="0" xfId="0" applyFont="1" applyAlignment="1">
      <alignment vertical="center" wrapText="1"/>
    </xf>
    <xf numFmtId="0" fontId="11" fillId="0" borderId="0" xfId="0" applyFont="1"/>
    <xf numFmtId="0" fontId="10" fillId="0" borderId="0" xfId="0" applyFont="1" applyAlignment="1">
      <alignment horizontal="left" vertical="center" wrapText="1"/>
    </xf>
    <xf numFmtId="0" fontId="10" fillId="0" borderId="0" xfId="0" applyFont="1" applyAlignment="1">
      <alignment horizontal="left" vertical="center" wrapText="1" indent="1"/>
    </xf>
    <xf numFmtId="0" fontId="10" fillId="0" borderId="0" xfId="0" applyFont="1"/>
    <xf numFmtId="0" fontId="1" fillId="2" borderId="5" xfId="0" applyFont="1" applyFill="1" applyBorder="1" applyProtection="1">
      <protection locked="0"/>
    </xf>
    <xf numFmtId="0" fontId="1" fillId="2" borderId="0" xfId="0" applyFont="1" applyFill="1" applyProtection="1">
      <protection locked="0"/>
    </xf>
    <xf numFmtId="0" fontId="1" fillId="2" borderId="26" xfId="0" applyFont="1" applyFill="1" applyBorder="1" applyAlignment="1">
      <alignment horizontal="left" vertical="center"/>
    </xf>
    <xf numFmtId="164" fontId="1" fillId="2" borderId="25" xfId="2" applyNumberFormat="1" applyFont="1" applyFill="1" applyBorder="1" applyAlignment="1">
      <alignment vertical="center" wrapText="1"/>
    </xf>
    <xf numFmtId="0" fontId="8" fillId="2" borderId="0" xfId="0" applyFont="1" applyFill="1"/>
    <xf numFmtId="0" fontId="8" fillId="2" borderId="25" xfId="0" applyFont="1" applyFill="1" applyBorder="1"/>
    <xf numFmtId="0" fontId="1" fillId="2" borderId="6" xfId="0" applyFont="1" applyFill="1" applyBorder="1" applyProtection="1">
      <protection locked="0"/>
    </xf>
    <xf numFmtId="0" fontId="1" fillId="2" borderId="21" xfId="0" applyFont="1" applyFill="1" applyBorder="1" applyAlignment="1">
      <alignment horizontal="left" vertical="center"/>
    </xf>
    <xf numFmtId="164" fontId="1" fillId="2" borderId="28" xfId="2" applyNumberFormat="1" applyFont="1" applyFill="1" applyBorder="1" applyAlignment="1">
      <alignment vertical="center" wrapText="1"/>
    </xf>
    <xf numFmtId="0" fontId="8" fillId="2" borderId="16" xfId="0" applyFont="1" applyFill="1" applyBorder="1" applyAlignment="1">
      <alignment horizontal="center"/>
    </xf>
    <xf numFmtId="0" fontId="8" fillId="2" borderId="18" xfId="0" applyFont="1" applyFill="1" applyBorder="1" applyAlignment="1">
      <alignment horizontal="center"/>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2" borderId="25" xfId="0" applyFont="1" applyFill="1" applyBorder="1" applyAlignment="1">
      <alignment horizontal="center"/>
    </xf>
    <xf numFmtId="172" fontId="8" fillId="2" borderId="26" xfId="0" applyNumberFormat="1" applyFont="1" applyFill="1" applyBorder="1" applyAlignment="1">
      <alignment horizontal="right"/>
    </xf>
    <xf numFmtId="172" fontId="8" fillId="2" borderId="22" xfId="0" applyNumberFormat="1" applyFont="1" applyFill="1" applyBorder="1" applyAlignment="1">
      <alignment horizontal="right"/>
    </xf>
    <xf numFmtId="172" fontId="8" fillId="2" borderId="27" xfId="1" applyNumberFormat="1" applyFont="1" applyFill="1" applyBorder="1" applyAlignment="1">
      <alignment horizontal="right"/>
    </xf>
    <xf numFmtId="0" fontId="8" fillId="2" borderId="28" xfId="0" applyFont="1" applyFill="1" applyBorder="1" applyAlignment="1">
      <alignment horizontal="center"/>
    </xf>
    <xf numFmtId="172" fontId="8" fillId="2" borderId="21" xfId="0" applyNumberFormat="1" applyFont="1" applyFill="1" applyBorder="1" applyAlignment="1">
      <alignment horizontal="right"/>
    </xf>
    <xf numFmtId="172" fontId="8" fillId="2" borderId="0" xfId="0" applyNumberFormat="1" applyFont="1" applyFill="1" applyAlignment="1">
      <alignment horizontal="right"/>
    </xf>
    <xf numFmtId="172" fontId="8" fillId="2" borderId="29" xfId="1" applyNumberFormat="1" applyFont="1" applyFill="1" applyBorder="1" applyAlignment="1">
      <alignment horizontal="right"/>
    </xf>
    <xf numFmtId="0" fontId="1" fillId="2" borderId="18" xfId="0" applyFont="1" applyFill="1" applyBorder="1" applyAlignment="1">
      <alignment horizontal="left" vertical="center"/>
    </xf>
    <xf numFmtId="2" fontId="1" fillId="2" borderId="16" xfId="0" applyNumberFormat="1" applyFont="1" applyFill="1" applyBorder="1" applyProtection="1">
      <protection locked="0"/>
    </xf>
    <xf numFmtId="0" fontId="8" fillId="2" borderId="29" xfId="0" applyFont="1" applyFill="1" applyBorder="1" applyAlignment="1">
      <alignment horizontal="right"/>
    </xf>
    <xf numFmtId="0" fontId="8" fillId="2" borderId="0" xfId="0" applyFont="1" applyFill="1" applyAlignment="1">
      <alignment horizontal="right"/>
    </xf>
    <xf numFmtId="0" fontId="1" fillId="2" borderId="25" xfId="0" applyFont="1" applyFill="1" applyBorder="1" applyAlignment="1">
      <alignment horizontal="center" vertical="center" wrapText="1"/>
    </xf>
    <xf numFmtId="0" fontId="1" fillId="2" borderId="25" xfId="0" applyFont="1" applyFill="1" applyBorder="1" applyAlignment="1">
      <alignment horizontal="center"/>
    </xf>
    <xf numFmtId="172" fontId="8" fillId="2" borderId="18" xfId="0" applyNumberFormat="1" applyFont="1" applyFill="1" applyBorder="1" applyAlignment="1">
      <alignment horizontal="right"/>
    </xf>
    <xf numFmtId="0" fontId="8" fillId="2" borderId="23" xfId="0" applyFont="1" applyFill="1" applyBorder="1" applyAlignment="1">
      <alignment horizontal="right"/>
    </xf>
    <xf numFmtId="0" fontId="8" fillId="2" borderId="24" xfId="0" applyFont="1" applyFill="1" applyBorder="1" applyAlignment="1">
      <alignment horizontal="right"/>
    </xf>
    <xf numFmtId="0" fontId="1" fillId="2" borderId="26" xfId="0" applyFont="1" applyFill="1" applyBorder="1" applyAlignment="1">
      <alignment horizontal="left" vertical="center" wrapText="1"/>
    </xf>
    <xf numFmtId="3" fontId="1" fillId="2" borderId="26" xfId="0" applyNumberFormat="1" applyFont="1" applyFill="1" applyBorder="1" applyAlignment="1">
      <alignment horizontal="right" vertical="center" wrapText="1"/>
    </xf>
    <xf numFmtId="9" fontId="1" fillId="2" borderId="25" xfId="0" applyNumberFormat="1" applyFont="1" applyFill="1" applyBorder="1" applyAlignment="1">
      <alignment horizontal="right"/>
    </xf>
    <xf numFmtId="0" fontId="1" fillId="2" borderId="21" xfId="0" applyFont="1" applyFill="1" applyBorder="1" applyAlignment="1">
      <alignment horizontal="left" vertical="center" wrapText="1"/>
    </xf>
    <xf numFmtId="3" fontId="1" fillId="2" borderId="21" xfId="0" applyNumberFormat="1" applyFont="1" applyFill="1" applyBorder="1" applyAlignment="1">
      <alignment horizontal="right" vertical="center" wrapText="1"/>
    </xf>
    <xf numFmtId="9" fontId="1" fillId="2" borderId="28" xfId="0" applyNumberFormat="1" applyFont="1" applyFill="1" applyBorder="1" applyAlignment="1">
      <alignment horizontal="right"/>
    </xf>
    <xf numFmtId="0" fontId="1" fillId="2" borderId="18" xfId="0" applyFont="1" applyFill="1" applyBorder="1" applyAlignment="1">
      <alignment horizontal="left" vertical="center" wrapText="1"/>
    </xf>
    <xf numFmtId="3" fontId="1" fillId="2" borderId="18" xfId="0" applyNumberFormat="1" applyFont="1" applyFill="1" applyBorder="1" applyAlignment="1">
      <alignment horizontal="right" vertical="center" wrapText="1"/>
    </xf>
    <xf numFmtId="9" fontId="1" fillId="2" borderId="16" xfId="0" applyNumberFormat="1" applyFont="1" applyFill="1" applyBorder="1" applyAlignment="1">
      <alignment horizontal="right"/>
    </xf>
    <xf numFmtId="0" fontId="8" fillId="2" borderId="26" xfId="0" applyFont="1" applyFill="1" applyBorder="1" applyAlignment="1">
      <alignment horizontal="right"/>
    </xf>
    <xf numFmtId="0" fontId="8" fillId="2" borderId="22" xfId="0" applyFont="1" applyFill="1" applyBorder="1" applyAlignment="1">
      <alignment horizontal="right"/>
    </xf>
    <xf numFmtId="0" fontId="8" fillId="2" borderId="21" xfId="0" applyFont="1" applyFill="1" applyBorder="1" applyAlignment="1">
      <alignment horizontal="right"/>
    </xf>
    <xf numFmtId="172" fontId="8" fillId="2" borderId="29" xfId="0" applyNumberFormat="1" applyFont="1" applyFill="1" applyBorder="1" applyAlignment="1">
      <alignment horizontal="right"/>
    </xf>
    <xf numFmtId="173" fontId="8" fillId="2" borderId="29" xfId="1" applyNumberFormat="1" applyFont="1" applyFill="1" applyBorder="1" applyAlignment="1">
      <alignment horizontal="right"/>
    </xf>
    <xf numFmtId="0" fontId="1" fillId="2" borderId="26" xfId="0" applyFont="1" applyFill="1" applyBorder="1" applyAlignment="1">
      <alignment vertical="center" wrapText="1"/>
    </xf>
    <xf numFmtId="0" fontId="1" fillId="2" borderId="25" xfId="0" applyFont="1" applyFill="1" applyBorder="1" applyAlignment="1">
      <alignment vertical="center" wrapText="1"/>
    </xf>
    <xf numFmtId="3" fontId="1" fillId="2" borderId="25" xfId="0" applyNumberFormat="1" applyFont="1" applyFill="1" applyBorder="1" applyAlignment="1">
      <alignment horizontal="right" vertical="center" wrapText="1"/>
    </xf>
    <xf numFmtId="0" fontId="1" fillId="2" borderId="28" xfId="0" applyFont="1" applyFill="1" applyBorder="1" applyAlignment="1">
      <alignment vertical="center" wrapText="1"/>
    </xf>
    <xf numFmtId="3" fontId="1" fillId="2" borderId="28" xfId="0" applyNumberFormat="1" applyFont="1" applyFill="1" applyBorder="1" applyAlignment="1">
      <alignment horizontal="right" vertical="center" wrapText="1"/>
    </xf>
    <xf numFmtId="0" fontId="8" fillId="2" borderId="18" xfId="0" applyFont="1" applyFill="1" applyBorder="1" applyAlignment="1">
      <alignment horizontal="right"/>
    </xf>
    <xf numFmtId="0" fontId="1" fillId="2" borderId="16" xfId="0" applyFont="1" applyFill="1" applyBorder="1" applyAlignment="1">
      <alignment vertical="center" wrapText="1"/>
    </xf>
    <xf numFmtId="3" fontId="1" fillId="2" borderId="16" xfId="0" applyNumberFormat="1" applyFont="1" applyFill="1" applyBorder="1" applyAlignment="1">
      <alignment horizontal="right" vertical="center" wrapText="1"/>
    </xf>
    <xf numFmtId="0" fontId="1" fillId="2" borderId="25" xfId="0" applyFont="1" applyFill="1" applyBorder="1" applyAlignment="1" applyProtection="1">
      <alignment horizontal="right"/>
      <protection locked="0"/>
    </xf>
    <xf numFmtId="0" fontId="1" fillId="2" borderId="27" xfId="0" applyFont="1" applyFill="1" applyBorder="1" applyAlignment="1" applyProtection="1">
      <alignment horizontal="center"/>
      <protection locked="0"/>
    </xf>
    <xf numFmtId="0" fontId="8" fillId="2" borderId="0" xfId="0" applyFont="1" applyFill="1" applyAlignment="1">
      <alignment horizontal="center"/>
    </xf>
    <xf numFmtId="0" fontId="1" fillId="2" borderId="25" xfId="0" applyFont="1" applyFill="1" applyBorder="1" applyProtection="1">
      <protection locked="0"/>
    </xf>
    <xf numFmtId="0" fontId="8" fillId="2" borderId="28" xfId="0" applyFont="1" applyFill="1" applyBorder="1" applyAlignment="1">
      <alignment horizontal="right"/>
    </xf>
    <xf numFmtId="0" fontId="8" fillId="2" borderId="21" xfId="0" applyFont="1" applyFill="1" applyBorder="1" applyAlignment="1">
      <alignment horizontal="center"/>
    </xf>
    <xf numFmtId="172" fontId="8" fillId="2" borderId="25" xfId="0" applyNumberFormat="1" applyFont="1" applyFill="1" applyBorder="1"/>
    <xf numFmtId="0" fontId="8" fillId="2" borderId="0" xfId="0" applyFont="1" applyFill="1" applyAlignment="1">
      <alignment horizontal="left"/>
    </xf>
    <xf numFmtId="3" fontId="1" fillId="2" borderId="0" xfId="0" applyNumberFormat="1" applyFont="1" applyFill="1" applyAlignment="1">
      <alignment vertical="center" wrapText="1"/>
    </xf>
    <xf numFmtId="172" fontId="8" fillId="2" borderId="28" xfId="0" applyNumberFormat="1" applyFont="1" applyFill="1" applyBorder="1"/>
    <xf numFmtId="0" fontId="8" fillId="2" borderId="16" xfId="0" applyFont="1" applyFill="1" applyBorder="1" applyAlignment="1">
      <alignment horizontal="right"/>
    </xf>
    <xf numFmtId="172" fontId="8" fillId="2" borderId="16" xfId="0" applyNumberFormat="1" applyFont="1" applyFill="1" applyBorder="1"/>
    <xf numFmtId="0" fontId="1" fillId="2" borderId="0" xfId="0" applyFont="1" applyFill="1" applyAlignment="1">
      <alignment vertical="center"/>
    </xf>
    <xf numFmtId="0" fontId="8" fillId="0" borderId="8" xfId="0" applyFont="1" applyBorder="1"/>
    <xf numFmtId="0" fontId="11" fillId="0" borderId="0" xfId="0" applyFont="1" applyAlignment="1">
      <alignment vertical="center" wrapText="1"/>
    </xf>
    <xf numFmtId="0" fontId="14" fillId="0" borderId="0" xfId="0" applyFont="1"/>
    <xf numFmtId="0" fontId="11" fillId="0" borderId="0" xfId="0" applyFont="1" applyAlignment="1">
      <alignment horizontal="left" vertical="center" wrapText="1"/>
    </xf>
    <xf numFmtId="0" fontId="10" fillId="0" borderId="0" xfId="0" applyFont="1" applyAlignment="1">
      <alignment horizontal="right" vertical="center" wrapText="1"/>
    </xf>
    <xf numFmtId="0" fontId="9" fillId="0" borderId="2" xfId="0" applyFont="1" applyBorder="1" applyAlignment="1">
      <alignment vertical="center"/>
    </xf>
    <xf numFmtId="0" fontId="9" fillId="0" borderId="3" xfId="0" applyFont="1" applyBorder="1" applyAlignment="1">
      <alignment vertical="center"/>
    </xf>
    <xf numFmtId="0" fontId="8" fillId="2" borderId="25" xfId="10" applyFont="1" applyFill="1" applyBorder="1" applyAlignment="1" applyProtection="1">
      <alignment horizontal="center" vertical="center" wrapText="1"/>
      <protection locked="0"/>
    </xf>
    <xf numFmtId="0" fontId="8" fillId="0" borderId="0" xfId="0" applyFont="1" applyAlignment="1" applyProtection="1">
      <alignment horizontal="right"/>
      <protection locked="0"/>
    </xf>
    <xf numFmtId="0" fontId="8" fillId="0" borderId="0" xfId="0" applyFont="1" applyProtection="1">
      <protection locked="0"/>
    </xf>
    <xf numFmtId="0" fontId="8" fillId="0" borderId="0" xfId="0" applyFont="1"/>
    <xf numFmtId="0" fontId="9" fillId="0" borderId="0" xfId="0" applyFont="1" applyProtection="1">
      <protection locked="0"/>
    </xf>
    <xf numFmtId="0" fontId="8" fillId="0" borderId="0" xfId="4" applyFont="1" applyAlignment="1" applyProtection="1">
      <alignment horizontal="left"/>
      <protection locked="0"/>
    </xf>
    <xf numFmtId="0" fontId="8" fillId="0" borderId="0" xfId="0" applyFont="1" applyAlignment="1" applyProtection="1">
      <alignment horizontal="left"/>
      <protection locked="0"/>
    </xf>
    <xf numFmtId="0" fontId="8" fillId="0" borderId="23" xfId="0" applyFont="1" applyBorder="1" applyProtection="1">
      <protection locked="0"/>
    </xf>
    <xf numFmtId="0" fontId="8" fillId="0" borderId="0" xfId="4" applyFont="1" applyProtection="1">
      <protection locked="0"/>
    </xf>
    <xf numFmtId="0" fontId="8" fillId="0" borderId="0" xfId="4" applyFont="1"/>
    <xf numFmtId="0" fontId="9" fillId="0" borderId="0" xfId="4" applyFont="1" applyProtection="1">
      <protection locked="0"/>
    </xf>
    <xf numFmtId="0" fontId="8" fillId="0" borderId="0" xfId="4" quotePrefix="1" applyFont="1" applyProtection="1">
      <protection locked="0"/>
    </xf>
    <xf numFmtId="2" fontId="8" fillId="0" borderId="0" xfId="4" applyNumberFormat="1" applyFont="1" applyAlignment="1" applyProtection="1">
      <alignment horizontal="center"/>
      <protection locked="0"/>
    </xf>
    <xf numFmtId="0" fontId="8" fillId="0" borderId="0" xfId="4" applyFont="1" applyAlignment="1" applyProtection="1">
      <alignment horizontal="left" vertical="center" wrapText="1"/>
      <protection locked="0"/>
    </xf>
    <xf numFmtId="0" fontId="8" fillId="0" borderId="10" xfId="0" applyFont="1" applyBorder="1" applyProtection="1">
      <protection locked="0"/>
    </xf>
    <xf numFmtId="0" fontId="8" fillId="0" borderId="0" xfId="4" applyFont="1" applyAlignment="1" applyProtection="1">
      <alignment horizontal="center"/>
      <protection locked="0"/>
    </xf>
    <xf numFmtId="0" fontId="8" fillId="0" borderId="10" xfId="3" applyFont="1" applyBorder="1" applyAlignment="1" applyProtection="1">
      <alignment horizontal="center" vertical="center"/>
      <protection locked="0"/>
    </xf>
    <xf numFmtId="3" fontId="8" fillId="0" borderId="10" xfId="3" applyNumberFormat="1" applyFont="1" applyBorder="1" applyAlignment="1" applyProtection="1">
      <alignment horizontal="right" vertical="center"/>
      <protection locked="0"/>
    </xf>
    <xf numFmtId="0" fontId="8" fillId="0" borderId="25" xfId="0" applyFont="1" applyBorder="1" applyAlignment="1" applyProtection="1">
      <alignment horizontal="center"/>
      <protection locked="0"/>
    </xf>
    <xf numFmtId="0" fontId="8" fillId="0" borderId="16" xfId="3" applyFont="1" applyBorder="1" applyAlignment="1" applyProtection="1">
      <alignment horizontal="center" vertical="center" wrapText="1"/>
      <protection locked="0"/>
    </xf>
    <xf numFmtId="0" fontId="12" fillId="0" borderId="0" xfId="0" applyFont="1" applyAlignment="1" applyProtection="1">
      <alignment horizontal="center"/>
      <protection locked="0"/>
    </xf>
    <xf numFmtId="164" fontId="12" fillId="0" borderId="0" xfId="2" applyNumberFormat="1" applyFont="1" applyFill="1" applyBorder="1" applyAlignment="1" applyProtection="1">
      <alignment horizontal="center"/>
      <protection locked="0"/>
    </xf>
    <xf numFmtId="164" fontId="8" fillId="0" borderId="0" xfId="0" applyNumberFormat="1" applyFont="1" applyProtection="1">
      <protection locked="0"/>
    </xf>
    <xf numFmtId="0" fontId="8" fillId="0" borderId="10" xfId="3" applyFont="1" applyBorder="1" applyAlignment="1" applyProtection="1">
      <alignment horizontal="center" vertical="center" wrapText="1"/>
      <protection locked="0"/>
    </xf>
    <xf numFmtId="3" fontId="8" fillId="0" borderId="10" xfId="3" applyNumberFormat="1" applyFont="1" applyBorder="1" applyAlignment="1" applyProtection="1">
      <alignment horizontal="center" vertical="center" wrapText="1"/>
      <protection locked="0"/>
    </xf>
    <xf numFmtId="0" fontId="8" fillId="0" borderId="10" xfId="3" applyFont="1" applyBorder="1" applyAlignment="1" applyProtection="1">
      <alignment horizontal="right" vertical="center" wrapText="1"/>
      <protection locked="0"/>
    </xf>
    <xf numFmtId="0" fontId="12" fillId="0" borderId="0" xfId="4" applyFont="1" applyAlignment="1" applyProtection="1">
      <alignment horizontal="center"/>
      <protection locked="0"/>
    </xf>
    <xf numFmtId="2" fontId="8" fillId="0" borderId="0" xfId="4" applyNumberFormat="1" applyFont="1" applyProtection="1">
      <protection locked="0"/>
    </xf>
    <xf numFmtId="165" fontId="8" fillId="0" borderId="0" xfId="0" applyNumberFormat="1" applyFont="1" applyAlignment="1" applyProtection="1">
      <alignment horizontal="center"/>
      <protection locked="0"/>
    </xf>
    <xf numFmtId="9" fontId="8" fillId="0" borderId="0" xfId="0" applyNumberFormat="1" applyFont="1" applyProtection="1">
      <protection locked="0"/>
    </xf>
    <xf numFmtId="3" fontId="8" fillId="0" borderId="10" xfId="3" applyNumberFormat="1" applyFont="1" applyBorder="1" applyAlignment="1" applyProtection="1">
      <alignment horizontal="right" vertical="center" wrapText="1"/>
      <protection locked="0"/>
    </xf>
    <xf numFmtId="37" fontId="8" fillId="0" borderId="0" xfId="5" applyNumberFormat="1" applyFont="1" applyBorder="1" applyAlignment="1" applyProtection="1">
      <alignment horizontal="center"/>
      <protection locked="0"/>
    </xf>
    <xf numFmtId="167" fontId="8" fillId="0" borderId="0" xfId="4" applyNumberFormat="1" applyFont="1" applyProtection="1">
      <protection locked="0"/>
    </xf>
    <xf numFmtId="0" fontId="8" fillId="0" borderId="0" xfId="0" applyFont="1" applyAlignment="1" applyProtection="1">
      <alignment horizontal="center"/>
      <protection locked="0"/>
    </xf>
    <xf numFmtId="10" fontId="8" fillId="0" borderId="0" xfId="0" applyNumberFormat="1" applyFont="1" applyProtection="1">
      <protection locked="0"/>
    </xf>
    <xf numFmtId="9" fontId="8" fillId="0" borderId="10" xfId="2" applyFont="1" applyFill="1" applyBorder="1" applyAlignment="1" applyProtection="1">
      <alignment horizontal="center" vertical="center" wrapText="1"/>
      <protection locked="0"/>
    </xf>
    <xf numFmtId="168" fontId="8" fillId="0" borderId="0" xfId="5" applyNumberFormat="1" applyFont="1" applyBorder="1" applyProtection="1">
      <protection locked="0"/>
    </xf>
    <xf numFmtId="169" fontId="8" fillId="0" borderId="0" xfId="0" applyNumberFormat="1" applyFont="1" applyAlignment="1" applyProtection="1">
      <alignment horizontal="center"/>
      <protection locked="0"/>
    </xf>
    <xf numFmtId="0" fontId="8" fillId="0" borderId="10" xfId="0" applyFont="1" applyBorder="1" applyAlignment="1" applyProtection="1">
      <alignment horizontal="center"/>
      <protection locked="0"/>
    </xf>
    <xf numFmtId="3" fontId="8" fillId="0" borderId="10" xfId="0" applyNumberFormat="1" applyFont="1" applyBorder="1" applyAlignment="1" applyProtection="1">
      <alignment horizontal="center"/>
      <protection locked="0"/>
    </xf>
    <xf numFmtId="0" fontId="8" fillId="0" borderId="10" xfId="0" applyFont="1" applyBorder="1" applyAlignment="1" applyProtection="1">
      <alignment horizontal="right"/>
      <protection locked="0"/>
    </xf>
    <xf numFmtId="168" fontId="8" fillId="0" borderId="0" xfId="4" applyNumberFormat="1" applyFont="1" applyProtection="1">
      <protection locked="0"/>
    </xf>
    <xf numFmtId="165" fontId="8" fillId="0" borderId="0" xfId="0" applyNumberFormat="1" applyFont="1" applyAlignment="1" applyProtection="1">
      <alignment horizontal="right"/>
      <protection locked="0"/>
    </xf>
    <xf numFmtId="164" fontId="8" fillId="0" borderId="0" xfId="2" applyNumberFormat="1" applyFont="1" applyFill="1" applyBorder="1" applyAlignment="1" applyProtection="1">
      <alignment horizontal="right"/>
      <protection locked="0"/>
    </xf>
    <xf numFmtId="164" fontId="8" fillId="0" borderId="0" xfId="0" applyNumberFormat="1" applyFont="1" applyAlignment="1" applyProtection="1">
      <alignment horizontal="right"/>
      <protection locked="0"/>
    </xf>
    <xf numFmtId="37" fontId="8" fillId="0" borderId="0" xfId="0" applyNumberFormat="1" applyFont="1" applyAlignment="1" applyProtection="1">
      <alignment horizontal="center"/>
      <protection locked="0"/>
    </xf>
    <xf numFmtId="0" fontId="8" fillId="0" borderId="0" xfId="4" applyFont="1" applyAlignment="1" applyProtection="1">
      <alignment horizontal="left" wrapText="1"/>
      <protection locked="0"/>
    </xf>
    <xf numFmtId="0" fontId="8" fillId="0" borderId="18" xfId="0" applyFont="1" applyBorder="1" applyProtection="1">
      <protection locked="0"/>
    </xf>
    <xf numFmtId="0" fontId="8" fillId="0" borderId="24" xfId="0" applyFont="1" applyBorder="1" applyProtection="1">
      <protection locked="0"/>
    </xf>
    <xf numFmtId="10" fontId="12" fillId="0" borderId="0" xfId="0" applyNumberFormat="1" applyFont="1" applyAlignment="1" applyProtection="1">
      <alignment horizontal="right"/>
      <protection locked="0"/>
    </xf>
    <xf numFmtId="170" fontId="8" fillId="0" borderId="0" xfId="0" applyNumberFormat="1" applyFont="1" applyAlignment="1" applyProtection="1">
      <alignment horizontal="center"/>
      <protection locked="0"/>
    </xf>
    <xf numFmtId="171" fontId="8" fillId="0" borderId="0" xfId="0" applyNumberFormat="1" applyFont="1" applyAlignment="1" applyProtection="1">
      <alignment horizontal="center"/>
      <protection locked="0"/>
    </xf>
    <xf numFmtId="0" fontId="9" fillId="0" borderId="0" xfId="0" applyFont="1" applyAlignment="1" applyProtection="1">
      <alignment horizontal="left"/>
      <protection locked="0"/>
    </xf>
    <xf numFmtId="0" fontId="1" fillId="0" borderId="0" xfId="0" applyFont="1" applyProtection="1">
      <protection locked="0"/>
    </xf>
    <xf numFmtId="0" fontId="10" fillId="0" borderId="0" xfId="0" applyFont="1" applyAlignment="1">
      <alignment horizontal="left" vertical="center"/>
    </xf>
    <xf numFmtId="0" fontId="1" fillId="0" borderId="5" xfId="0" applyFont="1" applyBorder="1" applyProtection="1">
      <protection locked="0"/>
    </xf>
    <xf numFmtId="0" fontId="1" fillId="0" borderId="26" xfId="0" applyFont="1" applyBorder="1" applyAlignment="1">
      <alignment horizontal="left" vertical="center"/>
    </xf>
    <xf numFmtId="164" fontId="1" fillId="0" borderId="25" xfId="2" applyNumberFormat="1" applyFont="1" applyFill="1" applyBorder="1" applyAlignment="1">
      <alignment vertical="center" wrapText="1"/>
    </xf>
    <xf numFmtId="0" fontId="8" fillId="0" borderId="25" xfId="0" applyFont="1" applyBorder="1"/>
    <xf numFmtId="0" fontId="8" fillId="0" borderId="26" xfId="0" applyFont="1" applyBorder="1"/>
    <xf numFmtId="0" fontId="8" fillId="0" borderId="22" xfId="0" applyFont="1" applyBorder="1"/>
    <xf numFmtId="0" fontId="8" fillId="0" borderId="27" xfId="0" applyFont="1" applyBorder="1"/>
    <xf numFmtId="0" fontId="1" fillId="0" borderId="6" xfId="0" applyFont="1" applyBorder="1" applyProtection="1">
      <protection locked="0"/>
    </xf>
    <xf numFmtId="0" fontId="1" fillId="0" borderId="21" xfId="0" applyFont="1" applyBorder="1" applyAlignment="1">
      <alignment horizontal="left" vertical="center"/>
    </xf>
    <xf numFmtId="164" fontId="1" fillId="0" borderId="28" xfId="2" applyNumberFormat="1" applyFont="1" applyFill="1" applyBorder="1" applyAlignment="1">
      <alignment vertical="center" wrapText="1"/>
    </xf>
    <xf numFmtId="0" fontId="8" fillId="0" borderId="16" xfId="0" applyFont="1" applyBorder="1" applyAlignment="1">
      <alignment horizontal="center"/>
    </xf>
    <xf numFmtId="0" fontId="8" fillId="0" borderId="18" xfId="0" applyFont="1" applyBorder="1" applyAlignment="1">
      <alignment horizontal="center"/>
    </xf>
    <xf numFmtId="0" fontId="8" fillId="0" borderId="23"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172" fontId="8" fillId="0" borderId="26" xfId="0" applyNumberFormat="1" applyFont="1" applyBorder="1" applyAlignment="1">
      <alignment horizontal="right"/>
    </xf>
    <xf numFmtId="172" fontId="8" fillId="0" borderId="22" xfId="0" applyNumberFormat="1" applyFont="1" applyBorder="1" applyAlignment="1">
      <alignment horizontal="right"/>
    </xf>
    <xf numFmtId="172" fontId="8" fillId="0" borderId="27" xfId="1" applyNumberFormat="1" applyFont="1" applyFill="1" applyBorder="1" applyAlignment="1">
      <alignment horizontal="right"/>
    </xf>
    <xf numFmtId="172" fontId="1" fillId="0" borderId="0" xfId="0" applyNumberFormat="1" applyFont="1" applyProtection="1">
      <protection locked="0"/>
    </xf>
    <xf numFmtId="0" fontId="8" fillId="0" borderId="28" xfId="0" applyFont="1" applyBorder="1" applyAlignment="1">
      <alignment horizontal="center"/>
    </xf>
    <xf numFmtId="172" fontId="8" fillId="0" borderId="21" xfId="0" applyNumberFormat="1" applyFont="1" applyBorder="1" applyAlignment="1">
      <alignment horizontal="right"/>
    </xf>
    <xf numFmtId="172" fontId="8" fillId="0" borderId="0" xfId="0" applyNumberFormat="1" applyFont="1" applyAlignment="1">
      <alignment horizontal="right"/>
    </xf>
    <xf numFmtId="172" fontId="8" fillId="0" borderId="29" xfId="1" applyNumberFormat="1" applyFont="1" applyFill="1" applyBorder="1" applyAlignment="1">
      <alignment horizontal="right"/>
    </xf>
    <xf numFmtId="0" fontId="1" fillId="0" borderId="18" xfId="0" applyFont="1" applyBorder="1" applyAlignment="1">
      <alignment horizontal="left" vertical="center"/>
    </xf>
    <xf numFmtId="2" fontId="1" fillId="0" borderId="16" xfId="0" applyNumberFormat="1" applyFont="1" applyBorder="1" applyProtection="1">
      <protection locked="0"/>
    </xf>
    <xf numFmtId="0" fontId="8" fillId="0" borderId="29" xfId="0" applyFont="1" applyBorder="1" applyAlignment="1">
      <alignment horizontal="right"/>
    </xf>
    <xf numFmtId="0" fontId="8" fillId="0" borderId="0" xfId="0" applyFont="1" applyAlignment="1">
      <alignment horizontal="right"/>
    </xf>
    <xf numFmtId="0" fontId="1" fillId="0" borderId="25" xfId="0" applyFont="1" applyBorder="1" applyAlignment="1">
      <alignment vertical="center" wrapText="1"/>
    </xf>
    <xf numFmtId="0" fontId="1" fillId="0" borderId="25" xfId="0" applyFont="1" applyBorder="1" applyAlignment="1">
      <alignment horizontal="center" vertical="center" wrapText="1"/>
    </xf>
    <xf numFmtId="0" fontId="1" fillId="0" borderId="25" xfId="0" applyFont="1" applyBorder="1" applyAlignment="1">
      <alignment horizontal="center"/>
    </xf>
    <xf numFmtId="172" fontId="8" fillId="0" borderId="18" xfId="0" applyNumberFormat="1" applyFont="1" applyBorder="1" applyAlignment="1">
      <alignment horizontal="right"/>
    </xf>
    <xf numFmtId="0" fontId="8" fillId="0" borderId="23" xfId="0" applyFont="1" applyBorder="1" applyAlignment="1">
      <alignment horizontal="right"/>
    </xf>
    <xf numFmtId="0" fontId="8" fillId="0" borderId="24" xfId="0" applyFont="1" applyBorder="1" applyAlignment="1">
      <alignment horizontal="right"/>
    </xf>
    <xf numFmtId="0" fontId="1" fillId="0" borderId="26" xfId="0" applyFont="1" applyBorder="1" applyAlignment="1">
      <alignment horizontal="left" vertical="center" wrapText="1"/>
    </xf>
    <xf numFmtId="3" fontId="1" fillId="0" borderId="26" xfId="0" applyNumberFormat="1" applyFont="1" applyBorder="1" applyAlignment="1">
      <alignment horizontal="right" vertical="center" wrapText="1"/>
    </xf>
    <xf numFmtId="9" fontId="1" fillId="0" borderId="25" xfId="0" applyNumberFormat="1" applyFont="1" applyBorder="1" applyAlignment="1">
      <alignment horizontal="right"/>
    </xf>
    <xf numFmtId="0" fontId="1" fillId="0" borderId="21" xfId="0" applyFont="1" applyBorder="1" applyAlignment="1">
      <alignment horizontal="left" vertical="center" wrapText="1"/>
    </xf>
    <xf numFmtId="3" fontId="1" fillId="0" borderId="21" xfId="0" applyNumberFormat="1" applyFont="1" applyBorder="1" applyAlignment="1">
      <alignment horizontal="right" vertical="center" wrapText="1"/>
    </xf>
    <xf numFmtId="9" fontId="1" fillId="0" borderId="28" xfId="0" applyNumberFormat="1" applyFont="1" applyBorder="1" applyAlignment="1">
      <alignment horizontal="right"/>
    </xf>
    <xf numFmtId="0" fontId="1" fillId="0" borderId="18" xfId="0" applyFont="1" applyBorder="1" applyAlignment="1">
      <alignment horizontal="left" vertical="center" wrapText="1"/>
    </xf>
    <xf numFmtId="3" fontId="1" fillId="0" borderId="18" xfId="0" applyNumberFormat="1" applyFont="1" applyBorder="1" applyAlignment="1">
      <alignment horizontal="right" vertical="center" wrapText="1"/>
    </xf>
    <xf numFmtId="9" fontId="1" fillId="0" borderId="16" xfId="0" applyNumberFormat="1" applyFont="1" applyBorder="1" applyAlignment="1">
      <alignment horizontal="right"/>
    </xf>
    <xf numFmtId="0" fontId="8" fillId="0" borderId="26" xfId="0" applyFont="1" applyBorder="1" applyAlignment="1">
      <alignment horizontal="right"/>
    </xf>
    <xf numFmtId="0" fontId="8" fillId="0" borderId="22" xfId="0" applyFont="1" applyBorder="1" applyAlignment="1">
      <alignment horizontal="right"/>
    </xf>
    <xf numFmtId="0" fontId="8" fillId="0" borderId="21" xfId="0" applyFont="1" applyBorder="1" applyAlignment="1">
      <alignment horizontal="right"/>
    </xf>
    <xf numFmtId="172" fontId="8" fillId="0" borderId="29" xfId="0" applyNumberFormat="1" applyFont="1" applyBorder="1" applyAlignment="1">
      <alignment horizontal="right"/>
    </xf>
    <xf numFmtId="0" fontId="1" fillId="0" borderId="19" xfId="0" applyFont="1" applyBorder="1" applyProtection="1">
      <protection locked="0"/>
    </xf>
    <xf numFmtId="0" fontId="8" fillId="0" borderId="20" xfId="0" applyFont="1" applyBorder="1"/>
    <xf numFmtId="0" fontId="1" fillId="0" borderId="20" xfId="0" applyFont="1" applyBorder="1" applyProtection="1">
      <protection locked="0"/>
    </xf>
    <xf numFmtId="0" fontId="1" fillId="0" borderId="30" xfId="0" applyFont="1" applyBorder="1" applyProtection="1">
      <protection locked="0"/>
    </xf>
    <xf numFmtId="173" fontId="8" fillId="0" borderId="29" xfId="1" applyNumberFormat="1" applyFont="1" applyFill="1" applyBorder="1" applyAlignment="1">
      <alignment horizontal="right"/>
    </xf>
    <xf numFmtId="0" fontId="1" fillId="0" borderId="26" xfId="0" applyFont="1" applyBorder="1" applyAlignment="1">
      <alignment vertical="center" wrapText="1"/>
    </xf>
    <xf numFmtId="3" fontId="1" fillId="0" borderId="25" xfId="0" applyNumberFormat="1" applyFont="1" applyBorder="1" applyAlignment="1">
      <alignment horizontal="right" vertical="center" wrapText="1"/>
    </xf>
    <xf numFmtId="0" fontId="1" fillId="0" borderId="28" xfId="0" applyFont="1" applyBorder="1" applyAlignment="1">
      <alignment vertical="center" wrapText="1"/>
    </xf>
    <xf numFmtId="3" fontId="1" fillId="0" borderId="28" xfId="0" applyNumberFormat="1" applyFont="1" applyBorder="1" applyAlignment="1">
      <alignment horizontal="right" vertical="center" wrapText="1"/>
    </xf>
    <xf numFmtId="0" fontId="8" fillId="0" borderId="18" xfId="0" applyFont="1" applyBorder="1" applyAlignment="1">
      <alignment horizontal="right"/>
    </xf>
    <xf numFmtId="0" fontId="1" fillId="0" borderId="16" xfId="0" applyFont="1" applyBorder="1" applyAlignment="1">
      <alignment vertical="center" wrapText="1"/>
    </xf>
    <xf numFmtId="3" fontId="1" fillId="0" borderId="16" xfId="0" applyNumberFormat="1" applyFont="1" applyBorder="1" applyAlignment="1">
      <alignment horizontal="right" vertical="center" wrapText="1"/>
    </xf>
    <xf numFmtId="0" fontId="1" fillId="0" borderId="25" xfId="0" applyFont="1" applyBorder="1" applyAlignment="1" applyProtection="1">
      <alignment horizontal="right"/>
      <protection locked="0"/>
    </xf>
    <xf numFmtId="0" fontId="1" fillId="0" borderId="27" xfId="0" applyFont="1" applyBorder="1" applyAlignment="1" applyProtection="1">
      <alignment horizontal="center"/>
      <protection locked="0"/>
    </xf>
    <xf numFmtId="0" fontId="8" fillId="0" borderId="0" xfId="0" applyFont="1" applyAlignment="1">
      <alignment horizontal="center"/>
    </xf>
    <xf numFmtId="0" fontId="1" fillId="0" borderId="25" xfId="0" applyFont="1" applyBorder="1" applyProtection="1">
      <protection locked="0"/>
    </xf>
    <xf numFmtId="0" fontId="8" fillId="0" borderId="28" xfId="0" applyFont="1" applyBorder="1" applyAlignment="1">
      <alignment horizontal="right"/>
    </xf>
    <xf numFmtId="0" fontId="8" fillId="0" borderId="21" xfId="0" applyFont="1" applyBorder="1" applyAlignment="1">
      <alignment horizontal="center"/>
    </xf>
    <xf numFmtId="172" fontId="8" fillId="0" borderId="25" xfId="0" applyNumberFormat="1" applyFont="1" applyBorder="1"/>
    <xf numFmtId="0" fontId="8" fillId="0" borderId="0" xfId="0" applyFont="1" applyAlignment="1">
      <alignment horizontal="left"/>
    </xf>
    <xf numFmtId="3" fontId="1" fillId="0" borderId="0" xfId="0" applyNumberFormat="1" applyFont="1" applyAlignment="1">
      <alignment vertical="center" wrapText="1"/>
    </xf>
    <xf numFmtId="172" fontId="8" fillId="0" borderId="28" xfId="0" applyNumberFormat="1" applyFont="1" applyBorder="1"/>
    <xf numFmtId="0" fontId="8" fillId="0" borderId="16" xfId="0" applyFont="1" applyBorder="1" applyAlignment="1">
      <alignment horizontal="right"/>
    </xf>
    <xf numFmtId="172" fontId="8" fillId="0" borderId="16" xfId="0" applyNumberFormat="1" applyFont="1" applyBorder="1"/>
    <xf numFmtId="172" fontId="1" fillId="0" borderId="0" xfId="1" applyNumberFormat="1" applyFont="1" applyFill="1" applyProtection="1">
      <protection locked="0"/>
    </xf>
    <xf numFmtId="0" fontId="1" fillId="0" borderId="0" xfId="0" applyFont="1" applyAlignment="1">
      <alignment vertical="center"/>
    </xf>
    <xf numFmtId="0" fontId="1" fillId="0" borderId="7" xfId="0" applyFont="1" applyBorder="1" applyProtection="1">
      <protection locked="0"/>
    </xf>
    <xf numFmtId="0" fontId="1" fillId="0" borderId="8" xfId="0" applyFont="1" applyBorder="1" applyProtection="1">
      <protection locked="0"/>
    </xf>
    <xf numFmtId="0" fontId="1" fillId="0" borderId="9" xfId="0" applyFont="1" applyBorder="1" applyProtection="1">
      <protection locked="0"/>
    </xf>
    <xf numFmtId="0" fontId="10" fillId="0" borderId="0" xfId="4" applyFont="1" applyAlignment="1" applyProtection="1">
      <alignment horizontal="left"/>
      <protection locked="0"/>
    </xf>
    <xf numFmtId="168" fontId="8" fillId="0" borderId="0" xfId="5" applyNumberFormat="1" applyFont="1" applyProtection="1">
      <protection locked="0"/>
    </xf>
    <xf numFmtId="0" fontId="14" fillId="0" borderId="0" xfId="0" applyFont="1" applyProtection="1">
      <protection locked="0"/>
    </xf>
    <xf numFmtId="2" fontId="1" fillId="0" borderId="0" xfId="0" applyNumberFormat="1" applyFont="1"/>
    <xf numFmtId="0" fontId="15" fillId="0" borderId="0" xfId="0" applyFont="1"/>
    <xf numFmtId="172" fontId="8" fillId="0" borderId="0" xfId="0" applyNumberFormat="1" applyFont="1" applyAlignment="1">
      <alignment horizontal="center"/>
    </xf>
    <xf numFmtId="172" fontId="16" fillId="0" borderId="0" xfId="0" applyNumberFormat="1" applyFont="1"/>
    <xf numFmtId="0" fontId="17" fillId="0" borderId="0" xfId="0" applyFont="1" applyProtection="1">
      <protection locked="0"/>
    </xf>
    <xf numFmtId="0" fontId="18" fillId="0" borderId="0" xfId="0" quotePrefix="1" applyFont="1" applyAlignment="1">
      <alignment horizontal="center"/>
    </xf>
    <xf numFmtId="165" fontId="1" fillId="0" borderId="0" xfId="0" applyNumberFormat="1" applyFont="1" applyAlignment="1">
      <alignment horizontal="center"/>
    </xf>
    <xf numFmtId="172" fontId="8" fillId="0" borderId="0" xfId="1" applyNumberFormat="1" applyFont="1" applyFill="1" applyBorder="1"/>
    <xf numFmtId="165" fontId="8" fillId="0" borderId="0" xfId="0" applyNumberFormat="1" applyFont="1" applyAlignment="1">
      <alignment horizontal="center"/>
    </xf>
    <xf numFmtId="164" fontId="1" fillId="0" borderId="0" xfId="2" applyNumberFormat="1" applyFont="1" applyFill="1" applyBorder="1"/>
    <xf numFmtId="172" fontId="1" fillId="0" borderId="0" xfId="0" applyNumberFormat="1" applyFont="1"/>
    <xf numFmtId="43" fontId="1" fillId="0" borderId="0" xfId="0" applyNumberFormat="1" applyFont="1"/>
    <xf numFmtId="164" fontId="1" fillId="0" borderId="0" xfId="0" applyNumberFormat="1" applyFont="1"/>
    <xf numFmtId="14" fontId="1" fillId="0" borderId="0" xfId="0" applyNumberFormat="1" applyFont="1"/>
    <xf numFmtId="2" fontId="8" fillId="0" borderId="0" xfId="0" applyNumberFormat="1" applyFont="1" applyProtection="1">
      <protection locked="0"/>
    </xf>
    <xf numFmtId="10" fontId="8" fillId="0" borderId="0" xfId="2" applyNumberFormat="1" applyFont="1" applyFill="1" applyBorder="1" applyProtection="1">
      <protection locked="0"/>
    </xf>
    <xf numFmtId="14" fontId="8" fillId="0" borderId="0" xfId="0" applyNumberFormat="1" applyFont="1" applyProtection="1">
      <protection locked="0"/>
    </xf>
    <xf numFmtId="0" fontId="14" fillId="0" borderId="0" xfId="0" applyFont="1" applyAlignment="1" applyProtection="1">
      <alignment horizontal="right"/>
      <protection locked="0"/>
    </xf>
    <xf numFmtId="172" fontId="8" fillId="0" borderId="0" xfId="0" applyNumberFormat="1" applyFont="1" applyProtection="1">
      <protection locked="0"/>
    </xf>
    <xf numFmtId="170" fontId="8" fillId="0" borderId="0" xfId="0" applyNumberFormat="1" applyFont="1" applyProtection="1">
      <protection locked="0"/>
    </xf>
    <xf numFmtId="0" fontId="19" fillId="0" borderId="0" xfId="0" applyFont="1"/>
    <xf numFmtId="165" fontId="8" fillId="0" borderId="0" xfId="0" applyNumberFormat="1" applyFont="1" applyProtection="1">
      <protection locked="0"/>
    </xf>
    <xf numFmtId="165" fontId="19" fillId="0" borderId="0" xfId="0" applyNumberFormat="1" applyFont="1"/>
    <xf numFmtId="10" fontId="19" fillId="0" borderId="0" xfId="0" applyNumberFormat="1" applyFont="1" applyProtection="1">
      <protection locked="0"/>
    </xf>
    <xf numFmtId="164" fontId="19" fillId="0" borderId="0" xfId="0" applyNumberFormat="1" applyFont="1" applyProtection="1">
      <protection locked="0"/>
    </xf>
    <xf numFmtId="10" fontId="19" fillId="0" borderId="0" xfId="2" applyNumberFormat="1" applyFont="1" applyFill="1" applyBorder="1" applyProtection="1">
      <protection locked="0"/>
    </xf>
    <xf numFmtId="0" fontId="14" fillId="0" borderId="0" xfId="6" applyFont="1"/>
    <xf numFmtId="0" fontId="1" fillId="0" borderId="0" xfId="6" applyFont="1"/>
    <xf numFmtId="0" fontId="14" fillId="0" borderId="0" xfId="4" applyFont="1"/>
    <xf numFmtId="0" fontId="21" fillId="0" borderId="0" xfId="7" applyNumberFormat="1" applyFont="1" applyFill="1" applyBorder="1" applyProtection="1">
      <protection locked="0"/>
    </xf>
    <xf numFmtId="0" fontId="22" fillId="0" borderId="0" xfId="4" applyFont="1" applyProtection="1">
      <protection locked="0"/>
    </xf>
    <xf numFmtId="0" fontId="13" fillId="0" borderId="0" xfId="0" applyFont="1" applyProtection="1">
      <protection locked="0"/>
    </xf>
    <xf numFmtId="0" fontId="19" fillId="0" borderId="0" xfId="6" applyFont="1"/>
    <xf numFmtId="169" fontId="13" fillId="0" borderId="0" xfId="0" applyNumberFormat="1" applyFont="1" applyProtection="1">
      <protection locked="0"/>
    </xf>
    <xf numFmtId="2" fontId="8" fillId="0" borderId="0" xfId="4" applyNumberFormat="1" applyFont="1" applyAlignment="1">
      <alignment horizontal="center"/>
    </xf>
    <xf numFmtId="0" fontId="8" fillId="0" borderId="0" xfId="4" applyFont="1" applyAlignment="1">
      <alignment horizontal="left" vertical="center" wrapText="1"/>
    </xf>
    <xf numFmtId="0" fontId="14" fillId="0" borderId="0" xfId="4" applyFont="1" applyAlignment="1">
      <alignment horizontal="left" vertical="center"/>
    </xf>
    <xf numFmtId="0" fontId="14" fillId="0" borderId="0" xfId="4" applyFont="1" applyProtection="1">
      <protection locked="0"/>
    </xf>
    <xf numFmtId="0" fontId="14" fillId="0" borderId="0" xfId="0" applyFont="1" applyAlignment="1">
      <alignment horizontal="center"/>
    </xf>
    <xf numFmtId="9" fontId="1" fillId="0" borderId="0" xfId="2" applyFont="1" applyFill="1"/>
    <xf numFmtId="174" fontId="1" fillId="0" borderId="0" xfId="0" applyNumberFormat="1" applyFont="1"/>
    <xf numFmtId="0" fontId="8" fillId="0" borderId="0" xfId="4" applyFont="1" applyAlignment="1">
      <alignment horizontal="center"/>
    </xf>
    <xf numFmtId="0" fontId="1" fillId="0" borderId="26" xfId="0" applyFont="1" applyBorder="1" applyAlignment="1">
      <alignment horizontal="centerContinuous"/>
    </xf>
    <xf numFmtId="0" fontId="1" fillId="0" borderId="20" xfId="0" applyFont="1" applyBorder="1" applyAlignment="1">
      <alignment horizontal="centerContinuous"/>
    </xf>
    <xf numFmtId="0" fontId="1" fillId="0" borderId="30" xfId="0" applyFont="1" applyBorder="1" applyAlignment="1">
      <alignment horizontal="centerContinuous"/>
    </xf>
    <xf numFmtId="0" fontId="1" fillId="0" borderId="25" xfId="0" applyFont="1" applyBorder="1" applyAlignment="1">
      <alignment horizontal="center" vertical="center"/>
    </xf>
    <xf numFmtId="0" fontId="12" fillId="0" borderId="0" xfId="4" applyFont="1" applyAlignment="1">
      <alignment horizontal="center"/>
    </xf>
    <xf numFmtId="0" fontId="1" fillId="0" borderId="0" xfId="0" applyFont="1" applyAlignment="1">
      <alignment horizontal="center" vertical="center"/>
    </xf>
    <xf numFmtId="9" fontId="1" fillId="0" borderId="0" xfId="2" applyFont="1" applyFill="1" applyAlignment="1">
      <alignment horizontal="center"/>
    </xf>
    <xf numFmtId="0" fontId="1" fillId="0" borderId="28" xfId="1" applyNumberFormat="1" applyFont="1" applyFill="1" applyBorder="1" applyAlignment="1">
      <alignment horizontal="center" vertical="center"/>
    </xf>
    <xf numFmtId="37" fontId="8" fillId="0" borderId="0" xfId="5" applyNumberFormat="1" applyFont="1" applyBorder="1" applyAlignment="1" applyProtection="1">
      <alignment horizontal="center"/>
    </xf>
    <xf numFmtId="167" fontId="8" fillId="0" borderId="0" xfId="4" applyNumberFormat="1" applyFont="1"/>
    <xf numFmtId="43" fontId="23" fillId="0" borderId="0" xfId="1" applyFont="1" applyFill="1" applyAlignment="1">
      <alignment horizontal="center"/>
    </xf>
    <xf numFmtId="43" fontId="23" fillId="0" borderId="0" xfId="1" applyFont="1" applyFill="1" applyAlignment="1">
      <alignment horizontal="center" vertical="center"/>
    </xf>
    <xf numFmtId="0" fontId="1" fillId="0" borderId="16" xfId="1" applyNumberFormat="1" applyFont="1" applyFill="1" applyBorder="1" applyAlignment="1">
      <alignment horizontal="center" vertical="center"/>
    </xf>
    <xf numFmtId="168" fontId="8" fillId="0" borderId="0" xfId="5" applyNumberFormat="1" applyFont="1" applyBorder="1" applyProtection="1"/>
    <xf numFmtId="172" fontId="1" fillId="0" borderId="0" xfId="1" applyNumberFormat="1" applyFont="1" applyFill="1" applyAlignment="1">
      <alignment horizontal="center" vertical="center"/>
    </xf>
    <xf numFmtId="172" fontId="1" fillId="0" borderId="0" xfId="0" applyNumberFormat="1" applyFont="1" applyAlignment="1">
      <alignment horizontal="center"/>
    </xf>
    <xf numFmtId="0" fontId="1" fillId="0" borderId="10" xfId="0" applyFont="1" applyBorder="1" applyAlignment="1">
      <alignment horizontal="center"/>
    </xf>
    <xf numFmtId="3" fontId="1" fillId="0" borderId="10" xfId="0" applyNumberFormat="1" applyFont="1" applyBorder="1" applyAlignment="1">
      <alignment horizontal="center"/>
    </xf>
    <xf numFmtId="0" fontId="18" fillId="0" borderId="0" xfId="0" applyFont="1" applyAlignment="1">
      <alignment horizontal="center"/>
    </xf>
    <xf numFmtId="0" fontId="1" fillId="0" borderId="0" xfId="0" quotePrefix="1" applyFont="1" applyAlignment="1">
      <alignment horizontal="center"/>
    </xf>
    <xf numFmtId="3" fontId="1" fillId="0" borderId="0" xfId="0" applyNumberFormat="1" applyFont="1" applyAlignment="1">
      <alignment horizontal="left"/>
    </xf>
    <xf numFmtId="165" fontId="1" fillId="0" borderId="0" xfId="0" applyNumberFormat="1" applyFont="1"/>
    <xf numFmtId="164" fontId="1" fillId="0" borderId="0" xfId="2" applyNumberFormat="1" applyFont="1" applyFill="1"/>
    <xf numFmtId="3" fontId="8" fillId="0" borderId="10" xfId="3" applyNumberFormat="1" applyFont="1" applyBorder="1" applyAlignment="1" applyProtection="1">
      <alignment vertical="center"/>
      <protection locked="0"/>
    </xf>
    <xf numFmtId="0" fontId="8" fillId="0" borderId="19" xfId="3" applyFont="1" applyBorder="1" applyAlignment="1" applyProtection="1">
      <alignment vertical="center"/>
      <protection locked="0"/>
    </xf>
    <xf numFmtId="0" fontId="1" fillId="0" borderId="20" xfId="0" applyFont="1" applyBorder="1"/>
    <xf numFmtId="0" fontId="1" fillId="0" borderId="0" xfId="0" quotePrefix="1" applyFont="1"/>
    <xf numFmtId="9" fontId="1" fillId="0" borderId="10" xfId="1" applyNumberFormat="1" applyFont="1" applyFill="1" applyBorder="1" applyAlignment="1"/>
    <xf numFmtId="0" fontId="1" fillId="0" borderId="19" xfId="1" applyNumberFormat="1" applyFont="1" applyFill="1" applyBorder="1" applyAlignment="1"/>
    <xf numFmtId="175" fontId="1" fillId="0" borderId="0" xfId="1" applyNumberFormat="1" applyFont="1" applyFill="1"/>
    <xf numFmtId="0" fontId="1" fillId="0" borderId="30" xfId="0" applyFont="1" applyBorder="1"/>
    <xf numFmtId="43" fontId="1" fillId="0" borderId="0" xfId="1" applyFont="1" applyFill="1"/>
    <xf numFmtId="3" fontId="1" fillId="0" borderId="10" xfId="1" applyNumberFormat="1" applyFont="1" applyFill="1" applyBorder="1" applyAlignment="1">
      <alignment horizontal="right"/>
    </xf>
    <xf numFmtId="43" fontId="1" fillId="0" borderId="0" xfId="1" applyFont="1" applyFill="1" applyBorder="1" applyAlignment="1" applyProtection="1">
      <alignment horizontal="right"/>
      <protection locked="0"/>
    </xf>
    <xf numFmtId="172" fontId="1" fillId="0" borderId="0" xfId="1" applyNumberFormat="1" applyFont="1" applyFill="1" applyBorder="1" applyProtection="1">
      <protection locked="0"/>
    </xf>
    <xf numFmtId="0" fontId="8" fillId="0" borderId="0" xfId="3" applyFont="1" applyAlignment="1" applyProtection="1">
      <alignment vertical="center"/>
      <protection locked="0"/>
    </xf>
    <xf numFmtId="0" fontId="1" fillId="0" borderId="0" xfId="1" applyNumberFormat="1" applyFont="1" applyFill="1" applyAlignment="1"/>
    <xf numFmtId="0" fontId="17" fillId="0" borderId="0" xfId="0" applyFont="1" applyAlignment="1" applyProtection="1">
      <alignment horizontal="left"/>
      <protection locked="0"/>
    </xf>
    <xf numFmtId="43" fontId="1" fillId="0" borderId="0" xfId="7" quotePrefix="1" applyFont="1" applyFill="1" applyBorder="1" applyAlignment="1" applyProtection="1">
      <alignment horizontal="right"/>
      <protection locked="0"/>
    </xf>
    <xf numFmtId="0" fontId="1" fillId="0" borderId="0" xfId="8" quotePrefix="1" applyFont="1" applyAlignment="1" applyProtection="1">
      <alignment horizontal="left"/>
      <protection locked="0"/>
    </xf>
    <xf numFmtId="0" fontId="8" fillId="0" borderId="0" xfId="3" applyFont="1" applyAlignment="1" applyProtection="1">
      <alignment horizontal="centerContinuous" vertical="center" wrapText="1"/>
      <protection locked="0"/>
    </xf>
    <xf numFmtId="0" fontId="19" fillId="0" borderId="0" xfId="0" applyFont="1" applyProtection="1">
      <protection locked="0"/>
    </xf>
    <xf numFmtId="0" fontId="17" fillId="0" borderId="0" xfId="6" applyFont="1"/>
    <xf numFmtId="164" fontId="17" fillId="0" borderId="0" xfId="9" applyNumberFormat="1" applyFont="1" applyFill="1" applyBorder="1" applyAlignment="1" applyProtection="1">
      <alignment horizontal="left"/>
      <protection locked="0"/>
    </xf>
    <xf numFmtId="0" fontId="13" fillId="0" borderId="0" xfId="6" applyFont="1" applyProtection="1">
      <protection locked="0"/>
    </xf>
    <xf numFmtId="0" fontId="20" fillId="0" borderId="0" xfId="4" applyFont="1"/>
    <xf numFmtId="0" fontId="21" fillId="0" borderId="0" xfId="1" applyNumberFormat="1" applyFont="1" applyFill="1" applyBorder="1" applyProtection="1">
      <protection locked="0"/>
    </xf>
    <xf numFmtId="2" fontId="14" fillId="0" borderId="0" xfId="4" applyNumberFormat="1" applyFont="1" applyAlignment="1" applyProtection="1">
      <alignment horizontal="center"/>
      <protection locked="0"/>
    </xf>
    <xf numFmtId="2" fontId="14" fillId="0" borderId="0" xfId="0" applyNumberFormat="1" applyFont="1" applyProtection="1">
      <protection locked="0"/>
    </xf>
    <xf numFmtId="0" fontId="24" fillId="0" borderId="0" xfId="0" applyFont="1" applyAlignment="1" applyProtection="1">
      <alignment horizontal="centerContinuous"/>
      <protection locked="0"/>
    </xf>
    <xf numFmtId="169" fontId="24" fillId="0" borderId="0" xfId="0" applyNumberFormat="1" applyFont="1" applyAlignment="1" applyProtection="1">
      <alignment horizontal="centerContinuous"/>
      <protection locked="0"/>
    </xf>
    <xf numFmtId="0" fontId="8" fillId="0" borderId="25" xfId="3" applyFont="1" applyBorder="1" applyAlignment="1" applyProtection="1">
      <alignment horizontal="center" vertical="center" wrapText="1"/>
      <protection locked="0"/>
    </xf>
    <xf numFmtId="0" fontId="24" fillId="0" borderId="0" xfId="0" applyFont="1" applyAlignment="1" applyProtection="1">
      <alignment horizontal="center"/>
      <protection locked="0"/>
    </xf>
    <xf numFmtId="0" fontId="24" fillId="0" borderId="0" xfId="0" quotePrefix="1" applyFont="1" applyAlignment="1" applyProtection="1">
      <alignment horizontal="center"/>
      <protection locked="0"/>
    </xf>
    <xf numFmtId="0" fontId="1" fillId="0" borderId="0" xfId="0" quotePrefix="1" applyFont="1" applyProtection="1">
      <protection locked="0"/>
    </xf>
    <xf numFmtId="0" fontId="8" fillId="0" borderId="18" xfId="3" applyFont="1" applyBorder="1" applyAlignment="1" applyProtection="1">
      <alignment horizontal="right" vertical="center" wrapText="1"/>
      <protection locked="0"/>
    </xf>
    <xf numFmtId="0" fontId="8" fillId="0" borderId="23" xfId="3" applyFont="1" applyBorder="1" applyAlignment="1" applyProtection="1">
      <alignment horizontal="right" vertical="center" wrapText="1"/>
      <protection locked="0"/>
    </xf>
    <xf numFmtId="0" fontId="13" fillId="0" borderId="0" xfId="0" applyFont="1" applyAlignment="1" applyProtection="1">
      <alignment horizontal="center"/>
      <protection locked="0"/>
    </xf>
    <xf numFmtId="172" fontId="13" fillId="0" borderId="0" xfId="1" applyNumberFormat="1" applyFont="1" applyFill="1" applyBorder="1" applyAlignment="1" applyProtection="1">
      <alignment horizontal="center"/>
      <protection locked="0"/>
    </xf>
    <xf numFmtId="1" fontId="13" fillId="0" borderId="0" xfId="0" applyNumberFormat="1" applyFont="1" applyAlignment="1" applyProtection="1">
      <alignment horizontal="center"/>
      <protection locked="0"/>
    </xf>
    <xf numFmtId="175" fontId="1" fillId="0" borderId="0" xfId="1" applyNumberFormat="1" applyFont="1" applyFill="1" applyBorder="1" applyProtection="1">
      <protection locked="0"/>
    </xf>
    <xf numFmtId="3" fontId="8" fillId="0" borderId="0" xfId="3" applyNumberFormat="1" applyFont="1" applyAlignment="1" applyProtection="1">
      <alignment horizontal="right" vertical="center" wrapText="1"/>
      <protection locked="0"/>
    </xf>
    <xf numFmtId="0" fontId="8" fillId="0" borderId="28" xfId="3" applyFont="1" applyBorder="1" applyAlignment="1" applyProtection="1">
      <alignment horizontal="center" vertical="center" wrapText="1"/>
      <protection locked="0"/>
    </xf>
    <xf numFmtId="169" fontId="13" fillId="0" borderId="0" xfId="0" applyNumberFormat="1" applyFont="1" applyAlignment="1" applyProtection="1">
      <alignment horizontal="center"/>
      <protection locked="0"/>
    </xf>
    <xf numFmtId="43" fontId="13" fillId="0" borderId="0" xfId="1" applyFont="1" applyFill="1" applyBorder="1" applyAlignment="1" applyProtection="1">
      <alignment horizontal="center"/>
      <protection locked="0"/>
    </xf>
    <xf numFmtId="0" fontId="8" fillId="0" borderId="22" xfId="3" applyFont="1" applyBorder="1" applyAlignment="1" applyProtection="1">
      <alignment horizontal="center" vertical="center" wrapText="1"/>
      <protection locked="0"/>
    </xf>
    <xf numFmtId="165" fontId="13" fillId="0" borderId="0" xfId="0" applyNumberFormat="1" applyFont="1" applyAlignment="1" applyProtection="1">
      <alignment horizontal="center"/>
      <protection locked="0"/>
    </xf>
    <xf numFmtId="0" fontId="8" fillId="0" borderId="24" xfId="3" applyFont="1" applyBorder="1" applyAlignment="1" applyProtection="1">
      <alignment horizontal="right" vertical="center" wrapText="1"/>
      <protection locked="0"/>
    </xf>
    <xf numFmtId="3" fontId="8" fillId="0" borderId="29" xfId="3" applyNumberFormat="1" applyFont="1" applyBorder="1" applyAlignment="1" applyProtection="1">
      <alignment horizontal="right" vertical="center" wrapText="1"/>
      <protection locked="0"/>
    </xf>
    <xf numFmtId="2" fontId="13" fillId="0" borderId="0" xfId="0" applyNumberFormat="1" applyFont="1" applyAlignment="1" applyProtection="1">
      <alignment horizontal="center"/>
      <protection locked="0"/>
    </xf>
    <xf numFmtId="37" fontId="13" fillId="0" borderId="0" xfId="0" applyNumberFormat="1" applyFont="1" applyAlignment="1" applyProtection="1">
      <alignment horizontal="center"/>
      <protection locked="0"/>
    </xf>
    <xf numFmtId="3" fontId="8" fillId="0" borderId="23" xfId="3" applyNumberFormat="1" applyFont="1" applyBorder="1" applyAlignment="1" applyProtection="1">
      <alignment horizontal="right" vertical="center" wrapText="1"/>
      <protection locked="0"/>
    </xf>
    <xf numFmtId="3" fontId="8" fillId="0" borderId="24" xfId="3" applyNumberFormat="1" applyFont="1" applyBorder="1" applyAlignment="1" applyProtection="1">
      <alignment horizontal="right" vertical="center" wrapText="1"/>
      <protection locked="0"/>
    </xf>
    <xf numFmtId="0" fontId="8" fillId="0" borderId="0" xfId="3" applyFont="1" applyAlignment="1" applyProtection="1">
      <alignment horizontal="center" vertical="center" wrapText="1"/>
      <protection locked="0"/>
    </xf>
    <xf numFmtId="4" fontId="8" fillId="0" borderId="0" xfId="3" applyNumberFormat="1" applyFont="1" applyAlignment="1" applyProtection="1">
      <alignment horizontal="right" vertical="center" wrapText="1"/>
      <protection locked="0"/>
    </xf>
    <xf numFmtId="0" fontId="13" fillId="0" borderId="0" xfId="0" quotePrefix="1" applyFont="1" applyProtection="1">
      <protection locked="0"/>
    </xf>
    <xf numFmtId="164" fontId="13" fillId="0" borderId="0" xfId="2" applyNumberFormat="1" applyFont="1" applyFill="1" applyBorder="1" applyAlignment="1" applyProtection="1">
      <alignment horizontal="center"/>
      <protection locked="0"/>
    </xf>
    <xf numFmtId="43" fontId="1" fillId="0" borderId="0" xfId="0" applyNumberFormat="1" applyFont="1" applyProtection="1">
      <protection locked="0"/>
    </xf>
    <xf numFmtId="170" fontId="13" fillId="0" borderId="0" xfId="0" applyNumberFormat="1" applyFont="1" applyAlignment="1" applyProtection="1">
      <alignment horizontal="center"/>
      <protection locked="0"/>
    </xf>
    <xf numFmtId="43" fontId="22" fillId="0" borderId="0" xfId="4" applyNumberFormat="1" applyFont="1" applyProtection="1">
      <protection locked="0"/>
    </xf>
    <xf numFmtId="172" fontId="13" fillId="0" borderId="0" xfId="1" applyNumberFormat="1" applyFont="1" applyFill="1" applyBorder="1" applyProtection="1">
      <protection locked="0"/>
    </xf>
    <xf numFmtId="0" fontId="4" fillId="0" borderId="0" xfId="0" applyFont="1" applyAlignment="1">
      <alignment horizontal="left" vertical="center"/>
    </xf>
    <xf numFmtId="0" fontId="1" fillId="0" borderId="14" xfId="0" applyFont="1" applyBorder="1" applyAlignment="1">
      <alignment horizontal="center" vertical="center" wrapText="1"/>
    </xf>
    <xf numFmtId="3" fontId="1" fillId="0" borderId="14" xfId="0" applyNumberFormat="1" applyFont="1" applyBorder="1" applyAlignment="1">
      <alignment horizontal="center" vertical="center" wrapText="1"/>
    </xf>
    <xf numFmtId="9" fontId="1" fillId="0" borderId="14" xfId="0" applyNumberFormat="1" applyFont="1" applyBorder="1" applyAlignment="1">
      <alignment horizontal="center" vertical="center" wrapText="1"/>
    </xf>
    <xf numFmtId="0" fontId="14" fillId="0" borderId="8" xfId="0" applyFont="1" applyBorder="1"/>
    <xf numFmtId="0" fontId="1" fillId="4" borderId="0" xfId="0" applyFont="1" applyFill="1"/>
    <xf numFmtId="0" fontId="1" fillId="0" borderId="0" xfId="0" applyFont="1" applyAlignment="1">
      <alignment horizontal="right"/>
    </xf>
    <xf numFmtId="0" fontId="1" fillId="4" borderId="0" xfId="0" applyFont="1" applyFill="1" applyAlignment="1">
      <alignment horizontal="right"/>
    </xf>
    <xf numFmtId="0" fontId="25" fillId="0" borderId="0" xfId="0" applyFont="1" applyAlignment="1">
      <alignment horizontal="center" wrapText="1"/>
    </xf>
    <xf numFmtId="172" fontId="0" fillId="0" borderId="0" xfId="1" applyNumberFormat="1" applyFont="1"/>
    <xf numFmtId="0" fontId="25" fillId="0" borderId="26" xfId="0" quotePrefix="1" applyFont="1" applyBorder="1" applyAlignment="1">
      <alignment horizontal="left"/>
    </xf>
    <xf numFmtId="0" fontId="25" fillId="0" borderId="22" xfId="0" applyFont="1" applyBorder="1" applyAlignment="1">
      <alignment horizontal="center" wrapText="1"/>
    </xf>
    <xf numFmtId="0" fontId="25" fillId="0" borderId="27" xfId="0" applyFont="1" applyBorder="1" applyAlignment="1">
      <alignment horizontal="center" wrapText="1"/>
    </xf>
    <xf numFmtId="0" fontId="0" fillId="0" borderId="21" xfId="0" applyBorder="1"/>
    <xf numFmtId="172" fontId="0" fillId="0" borderId="0" xfId="1" applyNumberFormat="1" applyFont="1" applyBorder="1"/>
    <xf numFmtId="172" fontId="0" fillId="0" borderId="29" xfId="1" applyNumberFormat="1" applyFont="1" applyBorder="1"/>
    <xf numFmtId="0" fontId="0" fillId="0" borderId="18" xfId="0" applyBorder="1"/>
    <xf numFmtId="172" fontId="0" fillId="0" borderId="23" xfId="1" applyNumberFormat="1" applyFont="1" applyBorder="1"/>
    <xf numFmtId="172" fontId="0" fillId="0" borderId="24" xfId="1" applyNumberFormat="1" applyFont="1" applyBorder="1"/>
    <xf numFmtId="0" fontId="25" fillId="0" borderId="0" xfId="0" applyFont="1" applyAlignment="1">
      <alignment horizontal="left"/>
    </xf>
    <xf numFmtId="0" fontId="13" fillId="0" borderId="0" xfId="4" applyFont="1" applyAlignment="1" applyProtection="1">
      <alignment wrapText="1"/>
      <protection locked="0"/>
    </xf>
    <xf numFmtId="172" fontId="13" fillId="0" borderId="0" xfId="1" applyNumberFormat="1" applyFont="1" applyProtection="1">
      <protection locked="0"/>
    </xf>
    <xf numFmtId="0" fontId="8" fillId="2" borderId="8" xfId="3" applyFont="1" applyFill="1" applyBorder="1" applyAlignment="1" applyProtection="1">
      <alignment horizontal="center" vertical="center" wrapText="1"/>
      <protection locked="0"/>
    </xf>
    <xf numFmtId="3" fontId="8" fillId="2" borderId="8" xfId="3" applyNumberFormat="1" applyFont="1" applyFill="1" applyBorder="1" applyAlignment="1" applyProtection="1">
      <alignment horizontal="center" vertical="center" wrapText="1"/>
      <protection locked="0"/>
    </xf>
    <xf numFmtId="0" fontId="8" fillId="2" borderId="8" xfId="3" applyFont="1" applyFill="1" applyBorder="1" applyAlignment="1" applyProtection="1">
      <alignment horizontal="right" vertical="center" wrapText="1"/>
      <protection locked="0"/>
    </xf>
    <xf numFmtId="175" fontId="26" fillId="0" borderId="0" xfId="4" applyNumberFormat="1" applyFont="1" applyProtection="1">
      <protection locked="0"/>
    </xf>
    <xf numFmtId="172" fontId="26" fillId="0" borderId="0" xfId="1" applyNumberFormat="1" applyFont="1" applyProtection="1">
      <protection locked="0"/>
    </xf>
    <xf numFmtId="175" fontId="26" fillId="0" borderId="0" xfId="1" applyNumberFormat="1" applyFont="1" applyProtection="1">
      <protection locked="0"/>
    </xf>
    <xf numFmtId="0" fontId="8" fillId="2" borderId="37" xfId="0" applyFont="1" applyFill="1" applyBorder="1" applyAlignment="1">
      <alignment horizontal="center"/>
    </xf>
    <xf numFmtId="0" fontId="10" fillId="0" borderId="0" xfId="0" applyFont="1" applyProtection="1">
      <protection locked="0"/>
    </xf>
    <xf numFmtId="0" fontId="1" fillId="5" borderId="3" xfId="0" applyFont="1" applyFill="1" applyBorder="1" applyProtection="1">
      <protection locked="0"/>
    </xf>
    <xf numFmtId="2" fontId="8" fillId="5" borderId="2" xfId="4" applyNumberFormat="1" applyFont="1" applyFill="1" applyBorder="1" applyAlignment="1" applyProtection="1">
      <alignment horizontal="left"/>
      <protection locked="0"/>
    </xf>
    <xf numFmtId="0" fontId="1" fillId="5" borderId="3" xfId="0" applyFont="1" applyFill="1" applyBorder="1"/>
    <xf numFmtId="0" fontId="1" fillId="5" borderId="4" xfId="0" applyFont="1" applyFill="1" applyBorder="1"/>
    <xf numFmtId="2" fontId="8" fillId="5" borderId="5" xfId="4" applyNumberFormat="1" applyFont="1" applyFill="1" applyBorder="1" applyAlignment="1" applyProtection="1">
      <alignment horizontal="left"/>
      <protection locked="0"/>
    </xf>
    <xf numFmtId="0" fontId="1" fillId="5" borderId="0" xfId="0" applyFont="1" applyFill="1" applyProtection="1">
      <protection locked="0"/>
    </xf>
    <xf numFmtId="0" fontId="1" fillId="5" borderId="6" xfId="0" applyFont="1" applyFill="1" applyBorder="1"/>
    <xf numFmtId="0" fontId="1" fillId="5" borderId="0" xfId="0" applyFont="1" applyFill="1"/>
    <xf numFmtId="2" fontId="8" fillId="5" borderId="5" xfId="4" applyNumberFormat="1" applyFont="1" applyFill="1" applyBorder="1" applyAlignment="1" applyProtection="1">
      <alignment horizontal="center"/>
      <protection locked="0"/>
    </xf>
    <xf numFmtId="0" fontId="1" fillId="5" borderId="26" xfId="0" applyFont="1" applyFill="1" applyBorder="1" applyAlignment="1">
      <alignment horizontal="left"/>
    </xf>
    <xf numFmtId="0" fontId="1" fillId="5" borderId="20" xfId="0" applyFont="1" applyFill="1" applyBorder="1" applyAlignment="1">
      <alignment horizontal="centerContinuous"/>
    </xf>
    <xf numFmtId="0" fontId="1" fillId="5" borderId="20" xfId="0" applyFont="1" applyFill="1" applyBorder="1" applyAlignment="1">
      <alignment horizontal="center"/>
    </xf>
    <xf numFmtId="0" fontId="1" fillId="5" borderId="31" xfId="0" applyFont="1" applyFill="1" applyBorder="1" applyAlignment="1">
      <alignment horizontal="centerContinuous"/>
    </xf>
    <xf numFmtId="0" fontId="1" fillId="5" borderId="25" xfId="0" applyFont="1" applyFill="1" applyBorder="1" applyAlignment="1">
      <alignment horizontal="center" vertical="center"/>
    </xf>
    <xf numFmtId="0" fontId="1" fillId="5" borderId="32" xfId="0" applyFont="1" applyFill="1" applyBorder="1" applyAlignment="1">
      <alignment horizontal="center" vertical="center"/>
    </xf>
    <xf numFmtId="0" fontId="1" fillId="5" borderId="5" xfId="0" applyFont="1" applyFill="1" applyBorder="1" applyProtection="1">
      <protection locked="0"/>
    </xf>
    <xf numFmtId="0" fontId="1" fillId="5" borderId="28" xfId="1" applyNumberFormat="1" applyFont="1" applyFill="1" applyBorder="1" applyAlignment="1">
      <alignment horizontal="center" vertical="center"/>
    </xf>
    <xf numFmtId="0" fontId="1" fillId="5" borderId="33" xfId="1" applyNumberFormat="1" applyFont="1" applyFill="1" applyBorder="1" applyAlignment="1">
      <alignment horizontal="center" vertical="center"/>
    </xf>
    <xf numFmtId="0" fontId="1" fillId="5" borderId="16" xfId="1" applyNumberFormat="1" applyFont="1" applyFill="1" applyBorder="1" applyAlignment="1">
      <alignment horizontal="center" vertical="center"/>
    </xf>
    <xf numFmtId="0" fontId="1" fillId="5" borderId="34" xfId="1" applyNumberFormat="1" applyFont="1" applyFill="1" applyBorder="1" applyAlignment="1">
      <alignment horizontal="center" vertical="center"/>
    </xf>
    <xf numFmtId="0" fontId="1" fillId="5" borderId="10" xfId="0" applyFont="1" applyFill="1" applyBorder="1" applyAlignment="1">
      <alignment horizontal="center"/>
    </xf>
    <xf numFmtId="3" fontId="1" fillId="5" borderId="10" xfId="0" applyNumberFormat="1" applyFont="1" applyFill="1" applyBorder="1" applyAlignment="1">
      <alignment horizontal="center"/>
    </xf>
    <xf numFmtId="3" fontId="1" fillId="5" borderId="35" xfId="0" applyNumberFormat="1" applyFont="1" applyFill="1" applyBorder="1" applyAlignment="1">
      <alignment horizontal="center"/>
    </xf>
    <xf numFmtId="0" fontId="1" fillId="5" borderId="30" xfId="0" applyFont="1" applyFill="1" applyBorder="1" applyProtection="1">
      <protection locked="0"/>
    </xf>
    <xf numFmtId="3" fontId="8" fillId="5" borderId="10" xfId="3" applyNumberFormat="1" applyFont="1" applyFill="1" applyBorder="1" applyAlignment="1" applyProtection="1">
      <alignment vertical="center"/>
      <protection locked="0"/>
    </xf>
    <xf numFmtId="0" fontId="8" fillId="5" borderId="19" xfId="3" applyFont="1" applyFill="1" applyBorder="1" applyAlignment="1" applyProtection="1">
      <alignment vertical="center"/>
      <protection locked="0"/>
    </xf>
    <xf numFmtId="0" fontId="1" fillId="5" borderId="20" xfId="0" applyFont="1" applyFill="1" applyBorder="1"/>
    <xf numFmtId="0" fontId="1" fillId="5" borderId="31" xfId="0" applyFont="1" applyFill="1" applyBorder="1" applyProtection="1">
      <protection locked="0"/>
    </xf>
    <xf numFmtId="9" fontId="1" fillId="5" borderId="10" xfId="1" applyNumberFormat="1" applyFont="1" applyFill="1" applyBorder="1" applyAlignment="1"/>
    <xf numFmtId="0" fontId="1" fillId="5" borderId="19" xfId="1" applyNumberFormat="1" applyFont="1" applyFill="1" applyBorder="1" applyAlignment="1"/>
    <xf numFmtId="0" fontId="1" fillId="5" borderId="20" xfId="0" applyFont="1" applyFill="1" applyBorder="1" applyProtection="1">
      <protection locked="0"/>
    </xf>
    <xf numFmtId="0" fontId="1" fillId="5" borderId="31" xfId="0" applyFont="1" applyFill="1" applyBorder="1"/>
    <xf numFmtId="3" fontId="1" fillId="5" borderId="10" xfId="1" applyNumberFormat="1" applyFont="1" applyFill="1" applyBorder="1" applyAlignment="1">
      <alignment horizontal="right"/>
    </xf>
    <xf numFmtId="9" fontId="1" fillId="5" borderId="22" xfId="2" applyFont="1" applyFill="1" applyBorder="1"/>
    <xf numFmtId="2" fontId="9" fillId="5" borderId="11" xfId="4" applyNumberFormat="1" applyFont="1" applyFill="1" applyBorder="1" applyAlignment="1" applyProtection="1">
      <alignment horizontal="left"/>
      <protection locked="0"/>
    </xf>
    <xf numFmtId="0" fontId="8" fillId="5" borderId="12" xfId="3" applyFont="1" applyFill="1" applyBorder="1" applyAlignment="1" applyProtection="1">
      <alignment horizontal="center" vertical="center" wrapText="1"/>
      <protection locked="0"/>
    </xf>
    <xf numFmtId="0" fontId="12" fillId="5" borderId="12" xfId="4" applyFont="1" applyFill="1" applyBorder="1" applyAlignment="1" applyProtection="1">
      <alignment horizontal="centerContinuous"/>
      <protection locked="0"/>
    </xf>
    <xf numFmtId="0" fontId="13" fillId="5" borderId="12" xfId="0" applyFont="1" applyFill="1" applyBorder="1" applyProtection="1">
      <protection locked="0"/>
    </xf>
    <xf numFmtId="0" fontId="1" fillId="5" borderId="12" xfId="0" applyFont="1" applyFill="1" applyBorder="1"/>
    <xf numFmtId="0" fontId="1" fillId="5" borderId="13" xfId="0" applyFont="1" applyFill="1" applyBorder="1"/>
    <xf numFmtId="3" fontId="8" fillId="2" borderId="38" xfId="3" applyNumberFormat="1" applyFont="1" applyFill="1" applyBorder="1" applyAlignment="1" applyProtection="1">
      <alignment horizontal="center"/>
      <protection locked="0"/>
    </xf>
    <xf numFmtId="0" fontId="8" fillId="0" borderId="26" xfId="3" applyFont="1" applyBorder="1" applyAlignment="1" applyProtection="1">
      <alignment horizontal="center" vertical="center" wrapText="1"/>
      <protection locked="0"/>
    </xf>
    <xf numFmtId="0" fontId="8" fillId="0" borderId="42" xfId="3" applyFont="1" applyBorder="1" applyAlignment="1" applyProtection="1">
      <alignment horizontal="right" vertical="center" wrapText="1"/>
      <protection locked="0"/>
    </xf>
    <xf numFmtId="0" fontId="8" fillId="0" borderId="43" xfId="3" applyFont="1" applyBorder="1" applyAlignment="1" applyProtection="1">
      <alignment horizontal="right" vertical="center" wrapText="1"/>
      <protection locked="0"/>
    </xf>
    <xf numFmtId="3" fontId="8" fillId="0" borderId="44" xfId="3" applyNumberFormat="1" applyFont="1" applyBorder="1" applyAlignment="1" applyProtection="1">
      <alignment horizontal="right" vertical="center" wrapText="1"/>
      <protection locked="0"/>
    </xf>
    <xf numFmtId="3" fontId="8" fillId="0" borderId="45" xfId="3" applyNumberFormat="1" applyFont="1" applyBorder="1" applyAlignment="1" applyProtection="1">
      <alignment horizontal="right" vertical="center" wrapText="1"/>
      <protection locked="0"/>
    </xf>
    <xf numFmtId="3" fontId="8" fillId="0" borderId="46" xfId="3" applyNumberFormat="1" applyFont="1" applyBorder="1" applyAlignment="1" applyProtection="1">
      <alignment horizontal="right" vertical="center" wrapText="1"/>
      <protection locked="0"/>
    </xf>
    <xf numFmtId="3" fontId="8" fillId="0" borderId="47" xfId="3" applyNumberFormat="1" applyFont="1" applyBorder="1" applyAlignment="1" applyProtection="1">
      <alignment horizontal="right" vertical="center" wrapText="1"/>
      <protection locked="0"/>
    </xf>
    <xf numFmtId="3" fontId="8" fillId="0" borderId="48" xfId="3" applyNumberFormat="1" applyFont="1" applyBorder="1" applyAlignment="1" applyProtection="1">
      <alignment horizontal="right" vertical="center" wrapText="1"/>
      <protection locked="0"/>
    </xf>
    <xf numFmtId="0" fontId="8" fillId="0" borderId="18" xfId="3" applyFont="1" applyBorder="1" applyAlignment="1" applyProtection="1">
      <alignment horizontal="center" vertical="center" wrapText="1"/>
      <protection locked="0"/>
    </xf>
    <xf numFmtId="0" fontId="8" fillId="0" borderId="21" xfId="3" applyFont="1" applyBorder="1" applyAlignment="1" applyProtection="1">
      <alignment horizontal="center" vertical="center" wrapText="1"/>
      <protection locked="0"/>
    </xf>
    <xf numFmtId="2" fontId="10" fillId="0" borderId="0" xfId="0" applyNumberFormat="1" applyFont="1" applyProtection="1">
      <protection locked="0"/>
    </xf>
    <xf numFmtId="169" fontId="10" fillId="0" borderId="0" xfId="0" applyNumberFormat="1" applyFont="1" applyProtection="1">
      <protection locked="0"/>
    </xf>
    <xf numFmtId="9" fontId="1" fillId="0" borderId="0" xfId="0" applyNumberFormat="1" applyFont="1"/>
    <xf numFmtId="1" fontId="1" fillId="0" borderId="0" xfId="0" applyNumberFormat="1" applyFont="1"/>
    <xf numFmtId="0" fontId="2" fillId="2" borderId="49" xfId="0" applyFont="1" applyFill="1" applyBorder="1"/>
    <xf numFmtId="0" fontId="2" fillId="2" borderId="50" xfId="0" applyFont="1" applyFill="1" applyBorder="1"/>
    <xf numFmtId="0" fontId="2" fillId="2" borderId="51" xfId="0" applyFont="1" applyFill="1" applyBorder="1"/>
    <xf numFmtId="164" fontId="1" fillId="2" borderId="25" xfId="0" applyNumberFormat="1" applyFont="1" applyFill="1" applyBorder="1"/>
    <xf numFmtId="0" fontId="1" fillId="2" borderId="25" xfId="0" applyFont="1" applyFill="1" applyBorder="1"/>
    <xf numFmtId="0" fontId="1" fillId="2" borderId="52" xfId="0" applyFont="1" applyFill="1" applyBorder="1" applyAlignment="1" applyProtection="1">
      <alignment horizontal="center"/>
      <protection locked="0"/>
    </xf>
    <xf numFmtId="0" fontId="1" fillId="2" borderId="53" xfId="0" applyFont="1" applyFill="1" applyBorder="1" applyAlignment="1" applyProtection="1">
      <alignment horizontal="center"/>
      <protection locked="0"/>
    </xf>
    <xf numFmtId="0" fontId="1" fillId="2" borderId="54" xfId="0" applyFont="1" applyFill="1" applyBorder="1" applyAlignment="1" applyProtection="1">
      <alignment horizontal="center"/>
      <protection locked="0"/>
    </xf>
    <xf numFmtId="0" fontId="8" fillId="2" borderId="55" xfId="3" applyFont="1" applyFill="1" applyBorder="1" applyAlignment="1" applyProtection="1">
      <alignment horizontal="center" vertical="center" wrapText="1"/>
      <protection locked="0"/>
    </xf>
    <xf numFmtId="0" fontId="8" fillId="2" borderId="56" xfId="3" applyFont="1" applyFill="1" applyBorder="1" applyAlignment="1" applyProtection="1">
      <alignment horizontal="center" vertical="center" wrapText="1"/>
      <protection locked="0"/>
    </xf>
    <xf numFmtId="0" fontId="8" fillId="2" borderId="57" xfId="3" applyFont="1" applyFill="1" applyBorder="1" applyAlignment="1" applyProtection="1">
      <alignment horizontal="center" vertical="center" wrapText="1"/>
      <protection locked="0"/>
    </xf>
    <xf numFmtId="0" fontId="8" fillId="2" borderId="58" xfId="3" applyFont="1" applyFill="1" applyBorder="1" applyAlignment="1" applyProtection="1">
      <alignment horizontal="right" vertical="center" wrapText="1"/>
      <protection locked="0"/>
    </xf>
    <xf numFmtId="3" fontId="8" fillId="2" borderId="58" xfId="3" applyNumberFormat="1" applyFont="1" applyFill="1" applyBorder="1" applyAlignment="1" applyProtection="1">
      <alignment horizontal="right" vertical="center" wrapText="1"/>
      <protection locked="0"/>
    </xf>
    <xf numFmtId="9" fontId="8" fillId="2" borderId="58" xfId="2" applyFont="1" applyFill="1" applyBorder="1" applyAlignment="1" applyProtection="1">
      <alignment horizontal="center" vertical="center" wrapText="1"/>
      <protection locked="0"/>
    </xf>
    <xf numFmtId="0" fontId="1" fillId="2" borderId="57" xfId="0" applyFont="1" applyFill="1" applyBorder="1" applyAlignment="1" applyProtection="1">
      <alignment horizontal="center"/>
      <protection locked="0"/>
    </xf>
    <xf numFmtId="0" fontId="1" fillId="2" borderId="59" xfId="0" applyFont="1" applyFill="1" applyBorder="1" applyAlignment="1" applyProtection="1">
      <alignment horizontal="center"/>
      <protection locked="0"/>
    </xf>
    <xf numFmtId="3" fontId="1" fillId="2" borderId="60" xfId="0" applyNumberFormat="1" applyFont="1" applyFill="1" applyBorder="1" applyAlignment="1" applyProtection="1">
      <alignment horizontal="center"/>
      <protection locked="0"/>
    </xf>
    <xf numFmtId="9" fontId="8" fillId="2" borderId="61" xfId="2" applyFont="1" applyFill="1" applyBorder="1" applyAlignment="1" applyProtection="1">
      <alignment horizontal="center" vertical="center" wrapText="1"/>
      <protection locked="0"/>
    </xf>
    <xf numFmtId="172" fontId="13" fillId="0" borderId="0" xfId="1" applyNumberFormat="1" applyFont="1" applyFill="1" applyBorder="1" applyAlignment="1" applyProtection="1">
      <alignment horizontal="center" vertical="top"/>
      <protection locked="0"/>
    </xf>
    <xf numFmtId="165" fontId="1" fillId="0" borderId="0" xfId="0" applyNumberFormat="1" applyFont="1" applyProtection="1">
      <protection locked="0"/>
    </xf>
    <xf numFmtId="0" fontId="1" fillId="0" borderId="0" xfId="0" applyFont="1" applyAlignment="1">
      <alignment wrapText="1"/>
    </xf>
    <xf numFmtId="0" fontId="1" fillId="6" borderId="0" xfId="0" applyFont="1" applyFill="1"/>
    <xf numFmtId="10" fontId="8" fillId="3" borderId="0" xfId="2" applyNumberFormat="1" applyFont="1" applyFill="1" applyBorder="1" applyProtection="1">
      <protection locked="0"/>
    </xf>
    <xf numFmtId="0" fontId="24" fillId="0" borderId="0" xfId="0" applyFont="1" applyAlignment="1" applyProtection="1">
      <alignment horizontal="left"/>
      <protection locked="0"/>
    </xf>
    <xf numFmtId="0" fontId="8" fillId="2" borderId="15" xfId="3" applyFont="1" applyFill="1" applyBorder="1" applyAlignment="1" applyProtection="1">
      <alignment horizontal="center" vertical="center" wrapText="1"/>
      <protection locked="0"/>
    </xf>
    <xf numFmtId="3" fontId="8" fillId="2" borderId="16" xfId="3" applyNumberFormat="1" applyFont="1" applyFill="1" applyBorder="1" applyAlignment="1" applyProtection="1">
      <alignment horizontal="center" vertical="center" wrapText="1"/>
      <protection locked="0"/>
    </xf>
    <xf numFmtId="0" fontId="8" fillId="2" borderId="16" xfId="3" applyFont="1" applyFill="1" applyBorder="1" applyAlignment="1" applyProtection="1">
      <alignment horizontal="right" vertical="center" wrapText="1"/>
      <protection locked="0"/>
    </xf>
    <xf numFmtId="0" fontId="8" fillId="2" borderId="24" xfId="3"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protection locked="0"/>
    </xf>
    <xf numFmtId="2" fontId="8" fillId="0" borderId="0" xfId="4" applyNumberFormat="1" applyFont="1" applyAlignment="1" applyProtection="1">
      <alignment horizontal="left"/>
      <protection locked="0"/>
    </xf>
    <xf numFmtId="172" fontId="13" fillId="3" borderId="0" xfId="1" applyNumberFormat="1" applyFont="1" applyFill="1" applyBorder="1" applyAlignment="1" applyProtection="1">
      <alignment horizontal="center"/>
      <protection locked="0"/>
    </xf>
    <xf numFmtId="0" fontId="1" fillId="0" borderId="5" xfId="0" applyFont="1" applyBorder="1" applyAlignment="1">
      <alignment horizontal="left" wrapText="1"/>
    </xf>
    <xf numFmtId="0" fontId="1" fillId="0" borderId="0" xfId="0" applyFont="1" applyAlignment="1">
      <alignment horizontal="left" wrapText="1"/>
    </xf>
    <xf numFmtId="0" fontId="1" fillId="0" borderId="6" xfId="0" applyFont="1" applyBorder="1" applyAlignment="1">
      <alignment horizontal="left" wrapText="1"/>
    </xf>
    <xf numFmtId="0" fontId="1" fillId="2" borderId="0" xfId="0" applyFont="1" applyFill="1" applyAlignment="1">
      <alignment horizontal="left" wrapText="1"/>
    </xf>
    <xf numFmtId="0" fontId="1" fillId="2" borderId="6" xfId="0" applyFont="1" applyFill="1" applyBorder="1" applyAlignment="1">
      <alignment horizontal="left" wrapText="1"/>
    </xf>
    <xf numFmtId="0" fontId="8" fillId="2" borderId="26" xfId="0" applyFont="1" applyFill="1" applyBorder="1" applyAlignment="1">
      <alignment horizontal="center"/>
    </xf>
    <xf numFmtId="0" fontId="8" fillId="2" borderId="22" xfId="0" applyFont="1" applyFill="1" applyBorder="1" applyAlignment="1">
      <alignment horizontal="center"/>
    </xf>
    <xf numFmtId="0" fontId="8" fillId="2" borderId="27" xfId="0" applyFont="1" applyFill="1" applyBorder="1" applyAlignment="1">
      <alignment horizontal="center"/>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xf numFmtId="0" fontId="1" fillId="5" borderId="0" xfId="0" applyFont="1" applyFill="1" applyAlignment="1" applyProtection="1">
      <alignment horizontal="left" wrapText="1"/>
      <protection locked="0"/>
    </xf>
    <xf numFmtId="0" fontId="1" fillId="5" borderId="6" xfId="0" applyFont="1" applyFill="1" applyBorder="1" applyAlignment="1" applyProtection="1">
      <alignment horizontal="left" wrapText="1"/>
      <protection locked="0"/>
    </xf>
    <xf numFmtId="0" fontId="8" fillId="2" borderId="19" xfId="4" applyFont="1" applyFill="1" applyBorder="1" applyAlignment="1" applyProtection="1">
      <alignment horizontal="center"/>
      <protection locked="0"/>
    </xf>
    <xf numFmtId="0" fontId="8" fillId="2" borderId="20" xfId="4" applyFont="1" applyFill="1" applyBorder="1" applyAlignment="1" applyProtection="1">
      <alignment horizontal="center"/>
      <protection locked="0"/>
    </xf>
    <xf numFmtId="0" fontId="8" fillId="2" borderId="31" xfId="4" applyFont="1" applyFill="1" applyBorder="1" applyAlignment="1" applyProtection="1">
      <alignment horizontal="center"/>
      <protection locked="0"/>
    </xf>
    <xf numFmtId="0" fontId="25" fillId="0" borderId="0" xfId="0" applyFont="1" applyAlignment="1">
      <alignment horizontal="center" wrapText="1"/>
    </xf>
    <xf numFmtId="0" fontId="10" fillId="0" borderId="0" xfId="4" applyFont="1" applyAlignment="1" applyProtection="1">
      <alignment horizontal="left" wrapText="1"/>
      <protection locked="0"/>
    </xf>
    <xf numFmtId="0" fontId="8" fillId="0" borderId="39" xfId="3" applyFont="1" applyBorder="1" applyAlignment="1" applyProtection="1">
      <alignment horizontal="center" vertical="center" wrapText="1"/>
      <protection locked="0"/>
    </xf>
    <xf numFmtId="0" fontId="8" fillId="0" borderId="40" xfId="3" applyFont="1" applyBorder="1" applyAlignment="1" applyProtection="1">
      <alignment horizontal="center" vertical="center" wrapText="1"/>
      <protection locked="0"/>
    </xf>
    <xf numFmtId="0" fontId="8" fillId="0" borderId="41" xfId="3" applyFont="1" applyBorder="1" applyAlignment="1" applyProtection="1">
      <alignment horizontal="center" vertical="center" wrapText="1"/>
      <protection locked="0"/>
    </xf>
    <xf numFmtId="0" fontId="8" fillId="0" borderId="26" xfId="3" applyFont="1" applyBorder="1" applyAlignment="1" applyProtection="1">
      <alignment horizontal="center" vertical="center" wrapText="1"/>
      <protection locked="0"/>
    </xf>
    <xf numFmtId="0" fontId="8" fillId="0" borderId="22" xfId="3" applyFont="1" applyBorder="1" applyAlignment="1" applyProtection="1">
      <alignment horizontal="center" vertical="center" wrapText="1"/>
      <protection locked="0"/>
    </xf>
    <xf numFmtId="0" fontId="8" fillId="0" borderId="27" xfId="3" applyFont="1" applyBorder="1" applyAlignment="1" applyProtection="1">
      <alignment horizontal="center" vertical="center" wrapText="1"/>
      <protection locked="0"/>
    </xf>
    <xf numFmtId="0" fontId="10" fillId="0" borderId="0" xfId="0" applyFont="1" applyAlignment="1">
      <alignment horizontal="left" vertical="center" wrapText="1"/>
    </xf>
  </cellXfs>
  <cellStyles count="11">
    <cellStyle name="Comma" xfId="1" builtinId="3"/>
    <cellStyle name="Comma 2 2 3" xfId="5" xr:uid="{4BD656E8-9B2C-4723-8060-E7A4FCD939D1}"/>
    <cellStyle name="Comma 2 3" xfId="7" xr:uid="{D01736DF-D6E4-4275-B988-54DF3F8FC27D}"/>
    <cellStyle name="Normal" xfId="0" builtinId="0"/>
    <cellStyle name="Normal 2" xfId="6" xr:uid="{E605AE03-C594-494C-B9FC-B40F15130610}"/>
    <cellStyle name="Normal 2 2" xfId="8" xr:uid="{62141936-9E9D-45EA-A48F-BADF40D88650}"/>
    <cellStyle name="Normal 2 3" xfId="4" xr:uid="{B694401E-063A-4B17-97B0-EF3D1860D253}"/>
    <cellStyle name="Normal 4 2" xfId="3" xr:uid="{D9CEF373-6DEE-4B37-9DBD-AE9E99CB5B7E}"/>
    <cellStyle name="Normal 4 2 2" xfId="10" xr:uid="{CF837E14-AAC8-4DEA-A738-18E6F813FDA6}"/>
    <cellStyle name="Percent" xfId="2" builtinId="5"/>
    <cellStyle name="Percent 4" xfId="9" xr:uid="{60015502-DAD6-4E48-A0D2-06313AD7E126}"/>
  </cellStyles>
  <dxfs count="40">
    <dxf>
      <fill>
        <patternFill>
          <bgColor theme="0" tint="-4.9989318521683403E-2"/>
        </patternFill>
      </fill>
      <border>
        <left/>
        <right/>
        <top/>
        <bottom/>
      </border>
    </dxf>
    <dxf>
      <fill>
        <patternFill>
          <fgColor indexed="64"/>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fgColor indexed="64"/>
          <bgColor theme="0" tint="-4.9989318521683403E-2"/>
        </patternFill>
      </fill>
      <border>
        <left/>
        <right/>
        <top/>
        <bottom/>
      </border>
    </dxf>
    <dxf>
      <fill>
        <patternFill>
          <fgColor indexed="64"/>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fgColor indexed="64"/>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fgColor indexed="64"/>
          <bgColor theme="0" tint="-4.9989318521683403E-2"/>
        </patternFill>
      </fill>
      <border>
        <left/>
        <right/>
        <top/>
        <bottom/>
      </border>
    </dxf>
    <dxf>
      <fill>
        <patternFill>
          <fgColor indexed="64"/>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fgColor indexed="64"/>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366889</xdr:colOff>
      <xdr:row>3</xdr:row>
      <xdr:rowOff>28222</xdr:rowOff>
    </xdr:from>
    <xdr:to>
      <xdr:col>1</xdr:col>
      <xdr:colOff>508000</xdr:colOff>
      <xdr:row>3</xdr:row>
      <xdr:rowOff>141111</xdr:rowOff>
    </xdr:to>
    <xdr:sp macro="" textlink="">
      <xdr:nvSpPr>
        <xdr:cNvPr id="2" name="Flowchart: Process 1">
          <a:extLst>
            <a:ext uri="{FF2B5EF4-FFF2-40B4-BE49-F238E27FC236}">
              <a16:creationId xmlns:a16="http://schemas.microsoft.com/office/drawing/2014/main" id="{4DB74FF4-4E7D-4E29-B78E-38DF6C8F1FB9}"/>
            </a:ext>
          </a:extLst>
        </xdr:cNvPr>
        <xdr:cNvSpPr/>
      </xdr:nvSpPr>
      <xdr:spPr>
        <a:xfrm>
          <a:off x="874889" y="580672"/>
          <a:ext cx="141111" cy="112889"/>
        </a:xfrm>
        <a:prstGeom prst="flowChartProcess">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359833</xdr:colOff>
      <xdr:row>5</xdr:row>
      <xdr:rowOff>35278</xdr:rowOff>
    </xdr:from>
    <xdr:to>
      <xdr:col>1</xdr:col>
      <xdr:colOff>500944</xdr:colOff>
      <xdr:row>5</xdr:row>
      <xdr:rowOff>148167</xdr:rowOff>
    </xdr:to>
    <xdr:sp macro="" textlink="">
      <xdr:nvSpPr>
        <xdr:cNvPr id="3" name="Flowchart: Process 2">
          <a:extLst>
            <a:ext uri="{FF2B5EF4-FFF2-40B4-BE49-F238E27FC236}">
              <a16:creationId xmlns:a16="http://schemas.microsoft.com/office/drawing/2014/main" id="{07F8BDED-4B55-480F-ACD9-48A2E5F0C50F}"/>
            </a:ext>
          </a:extLst>
        </xdr:cNvPr>
        <xdr:cNvSpPr/>
      </xdr:nvSpPr>
      <xdr:spPr>
        <a:xfrm>
          <a:off x="867833" y="956028"/>
          <a:ext cx="141111" cy="112889"/>
        </a:xfrm>
        <a:prstGeom prst="flowChartProcess">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345722</xdr:colOff>
      <xdr:row>7</xdr:row>
      <xdr:rowOff>21166</xdr:rowOff>
    </xdr:from>
    <xdr:to>
      <xdr:col>1</xdr:col>
      <xdr:colOff>486833</xdr:colOff>
      <xdr:row>7</xdr:row>
      <xdr:rowOff>134055</xdr:rowOff>
    </xdr:to>
    <xdr:sp macro="" textlink="">
      <xdr:nvSpPr>
        <xdr:cNvPr id="4" name="Flowchart: Process 3">
          <a:extLst>
            <a:ext uri="{FF2B5EF4-FFF2-40B4-BE49-F238E27FC236}">
              <a16:creationId xmlns:a16="http://schemas.microsoft.com/office/drawing/2014/main" id="{E4A34387-660F-48AE-875A-A611A3315760}"/>
            </a:ext>
          </a:extLst>
        </xdr:cNvPr>
        <xdr:cNvSpPr/>
      </xdr:nvSpPr>
      <xdr:spPr>
        <a:xfrm>
          <a:off x="853722" y="1310216"/>
          <a:ext cx="141111" cy="112889"/>
        </a:xfrm>
        <a:prstGeom prst="flowChartProcess">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345723</xdr:colOff>
      <xdr:row>9</xdr:row>
      <xdr:rowOff>21167</xdr:rowOff>
    </xdr:from>
    <xdr:to>
      <xdr:col>1</xdr:col>
      <xdr:colOff>486834</xdr:colOff>
      <xdr:row>9</xdr:row>
      <xdr:rowOff>134056</xdr:rowOff>
    </xdr:to>
    <xdr:sp macro="" textlink="">
      <xdr:nvSpPr>
        <xdr:cNvPr id="5" name="Flowchart: Process 4">
          <a:extLst>
            <a:ext uri="{FF2B5EF4-FFF2-40B4-BE49-F238E27FC236}">
              <a16:creationId xmlns:a16="http://schemas.microsoft.com/office/drawing/2014/main" id="{76BCC127-8E0F-43CF-82B6-F5D7AF282583}"/>
            </a:ext>
          </a:extLst>
        </xdr:cNvPr>
        <xdr:cNvSpPr/>
      </xdr:nvSpPr>
      <xdr:spPr>
        <a:xfrm>
          <a:off x="853723" y="1678517"/>
          <a:ext cx="141111" cy="112889"/>
        </a:xfrm>
        <a:prstGeom prst="flowChartProcess">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352778</xdr:colOff>
      <xdr:row>11</xdr:row>
      <xdr:rowOff>42333</xdr:rowOff>
    </xdr:from>
    <xdr:to>
      <xdr:col>1</xdr:col>
      <xdr:colOff>493889</xdr:colOff>
      <xdr:row>11</xdr:row>
      <xdr:rowOff>155222</xdr:rowOff>
    </xdr:to>
    <xdr:sp macro="" textlink="">
      <xdr:nvSpPr>
        <xdr:cNvPr id="6" name="Flowchart: Process 5">
          <a:extLst>
            <a:ext uri="{FF2B5EF4-FFF2-40B4-BE49-F238E27FC236}">
              <a16:creationId xmlns:a16="http://schemas.microsoft.com/office/drawing/2014/main" id="{B5E5BF50-2139-47AA-9209-9C014FFC9B34}"/>
            </a:ext>
          </a:extLst>
        </xdr:cNvPr>
        <xdr:cNvSpPr/>
      </xdr:nvSpPr>
      <xdr:spPr>
        <a:xfrm>
          <a:off x="860778" y="2060222"/>
          <a:ext cx="141111" cy="112889"/>
        </a:xfrm>
        <a:prstGeom prst="flowChartProcess">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571499</xdr:colOff>
      <xdr:row>9</xdr:row>
      <xdr:rowOff>183443</xdr:rowOff>
    </xdr:from>
    <xdr:to>
      <xdr:col>10</xdr:col>
      <xdr:colOff>7055</xdr:colOff>
      <xdr:row>30</xdr:row>
      <xdr:rowOff>6955</xdr:rowOff>
    </xdr:to>
    <xdr:pic>
      <xdr:nvPicPr>
        <xdr:cNvPr id="2" name="Picture 1" descr="A screenshot of a computer&#10;&#10;AI-generated content may be incorrect.">
          <a:extLst>
            <a:ext uri="{FF2B5EF4-FFF2-40B4-BE49-F238E27FC236}">
              <a16:creationId xmlns:a16="http://schemas.microsoft.com/office/drawing/2014/main" id="{3FD6FA18-1B27-F3F9-639D-68E1F05361DA}"/>
            </a:ext>
          </a:extLst>
        </xdr:cNvPr>
        <xdr:cNvPicPr>
          <a:picLocks noChangeAspect="1"/>
        </xdr:cNvPicPr>
      </xdr:nvPicPr>
      <xdr:blipFill rotWithShape="1">
        <a:blip xmlns:r="http://schemas.openxmlformats.org/officeDocument/2006/relationships" r:embed="rId1"/>
        <a:srcRect l="45860" t="16137" r="37962" b="42369"/>
        <a:stretch>
          <a:fillRect/>
        </a:stretch>
      </xdr:blipFill>
      <xdr:spPr bwMode="auto">
        <a:xfrm>
          <a:off x="571499" y="2215443"/>
          <a:ext cx="5799667" cy="367584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71786</xdr:colOff>
      <xdr:row>11</xdr:row>
      <xdr:rowOff>169333</xdr:rowOff>
    </xdr:from>
    <xdr:to>
      <xdr:col>13</xdr:col>
      <xdr:colOff>414836</xdr:colOff>
      <xdr:row>15</xdr:row>
      <xdr:rowOff>62744</xdr:rowOff>
    </xdr:to>
    <xdr:pic>
      <xdr:nvPicPr>
        <xdr:cNvPr id="3" name="Picture 2" descr="A screenshot of a computer&#10;&#10;AI-generated content may be incorrect.">
          <a:extLst>
            <a:ext uri="{FF2B5EF4-FFF2-40B4-BE49-F238E27FC236}">
              <a16:creationId xmlns:a16="http://schemas.microsoft.com/office/drawing/2014/main" id="{282F30AE-4D84-4AEA-8F7E-491864DEFDB4}"/>
            </a:ext>
          </a:extLst>
        </xdr:cNvPr>
        <xdr:cNvPicPr>
          <a:picLocks noChangeAspect="1"/>
        </xdr:cNvPicPr>
      </xdr:nvPicPr>
      <xdr:blipFill rotWithShape="1">
        <a:blip xmlns:r="http://schemas.openxmlformats.org/officeDocument/2006/relationships" r:embed="rId1"/>
        <a:srcRect l="56190" t="19828" r="38795" b="73251"/>
        <a:stretch>
          <a:fillRect/>
        </a:stretch>
      </xdr:blipFill>
      <xdr:spPr bwMode="auto">
        <a:xfrm>
          <a:off x="6816897" y="2568222"/>
          <a:ext cx="1838828" cy="6271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56443</xdr:colOff>
      <xdr:row>15</xdr:row>
      <xdr:rowOff>56444</xdr:rowOff>
    </xdr:from>
    <xdr:to>
      <xdr:col>13</xdr:col>
      <xdr:colOff>402165</xdr:colOff>
      <xdr:row>18</xdr:row>
      <xdr:rowOff>106296</xdr:rowOff>
    </xdr:to>
    <xdr:pic>
      <xdr:nvPicPr>
        <xdr:cNvPr id="4" name="Picture 3" descr="A screenshot of a computer&#10;&#10;AI-generated content may be incorrect.">
          <a:extLst>
            <a:ext uri="{FF2B5EF4-FFF2-40B4-BE49-F238E27FC236}">
              <a16:creationId xmlns:a16="http://schemas.microsoft.com/office/drawing/2014/main" id="{545E586D-D4EA-454E-A16B-2E9F1816ABBA}"/>
            </a:ext>
          </a:extLst>
        </xdr:cNvPr>
        <xdr:cNvPicPr>
          <a:picLocks noChangeAspect="1"/>
        </xdr:cNvPicPr>
      </xdr:nvPicPr>
      <xdr:blipFill rotWithShape="1">
        <a:blip xmlns:r="http://schemas.openxmlformats.org/officeDocument/2006/relationships" r:embed="rId1"/>
        <a:srcRect l="56190" t="26749" r="38795" b="66637"/>
        <a:stretch>
          <a:fillRect/>
        </a:stretch>
      </xdr:blipFill>
      <xdr:spPr bwMode="auto">
        <a:xfrm>
          <a:off x="6801554" y="3189111"/>
          <a:ext cx="1841500" cy="60018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56445</xdr:colOff>
      <xdr:row>18</xdr:row>
      <xdr:rowOff>112890</xdr:rowOff>
    </xdr:from>
    <xdr:to>
      <xdr:col>13</xdr:col>
      <xdr:colOff>402167</xdr:colOff>
      <xdr:row>22</xdr:row>
      <xdr:rowOff>21171</xdr:rowOff>
    </xdr:to>
    <xdr:pic>
      <xdr:nvPicPr>
        <xdr:cNvPr id="5" name="Picture 4" descr="A screenshot of a computer&#10;&#10;AI-generated content may be incorrect.">
          <a:extLst>
            <a:ext uri="{FF2B5EF4-FFF2-40B4-BE49-F238E27FC236}">
              <a16:creationId xmlns:a16="http://schemas.microsoft.com/office/drawing/2014/main" id="{067F87B8-007E-41FD-8637-9CD2B630637D}"/>
            </a:ext>
          </a:extLst>
        </xdr:cNvPr>
        <xdr:cNvPicPr>
          <a:picLocks noChangeAspect="1"/>
        </xdr:cNvPicPr>
      </xdr:nvPicPr>
      <xdr:blipFill rotWithShape="1">
        <a:blip xmlns:r="http://schemas.openxmlformats.org/officeDocument/2006/relationships" r:embed="rId1"/>
        <a:srcRect l="56190" t="33669" r="38795" b="59255"/>
        <a:stretch>
          <a:fillRect/>
        </a:stretch>
      </xdr:blipFill>
      <xdr:spPr bwMode="auto">
        <a:xfrm>
          <a:off x="6801556" y="3795890"/>
          <a:ext cx="1841500" cy="64205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70557</xdr:colOff>
      <xdr:row>21</xdr:row>
      <xdr:rowOff>162279</xdr:rowOff>
    </xdr:from>
    <xdr:to>
      <xdr:col>13</xdr:col>
      <xdr:colOff>402166</xdr:colOff>
      <xdr:row>25</xdr:row>
      <xdr:rowOff>37938</xdr:rowOff>
    </xdr:to>
    <xdr:pic>
      <xdr:nvPicPr>
        <xdr:cNvPr id="6" name="Picture 5" descr="A screenshot of a computer&#10;&#10;AI-generated content may be incorrect.">
          <a:extLst>
            <a:ext uri="{FF2B5EF4-FFF2-40B4-BE49-F238E27FC236}">
              <a16:creationId xmlns:a16="http://schemas.microsoft.com/office/drawing/2014/main" id="{7D171B7F-52A4-41F7-95CB-DC4A65C7F9FC}"/>
            </a:ext>
          </a:extLst>
        </xdr:cNvPr>
        <xdr:cNvPicPr>
          <a:picLocks noChangeAspect="1"/>
        </xdr:cNvPicPr>
      </xdr:nvPicPr>
      <xdr:blipFill rotWithShape="1">
        <a:blip xmlns:r="http://schemas.openxmlformats.org/officeDocument/2006/relationships" r:embed="rId1"/>
        <a:srcRect l="56190" t="40590" r="38795" b="52641"/>
        <a:stretch>
          <a:fillRect/>
        </a:stretch>
      </xdr:blipFill>
      <xdr:spPr bwMode="auto">
        <a:xfrm>
          <a:off x="6815668" y="4395612"/>
          <a:ext cx="1827387" cy="60943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11</xdr:col>
      <xdr:colOff>63500</xdr:colOff>
      <xdr:row>25</xdr:row>
      <xdr:rowOff>49389</xdr:rowOff>
    </xdr:from>
    <xdr:to>
      <xdr:col>13</xdr:col>
      <xdr:colOff>444501</xdr:colOff>
      <xdr:row>29</xdr:row>
      <xdr:rowOff>11698</xdr:rowOff>
    </xdr:to>
    <xdr:pic>
      <xdr:nvPicPr>
        <xdr:cNvPr id="7" name="Picture 6" descr="A screenshot of a computer&#10;&#10;AI-generated content may be incorrect.">
          <a:extLst>
            <a:ext uri="{FF2B5EF4-FFF2-40B4-BE49-F238E27FC236}">
              <a16:creationId xmlns:a16="http://schemas.microsoft.com/office/drawing/2014/main" id="{4D9FD07B-FC1F-4D38-B341-D8AE4584678D}"/>
            </a:ext>
          </a:extLst>
        </xdr:cNvPr>
        <xdr:cNvPicPr>
          <a:picLocks noChangeAspect="1"/>
        </xdr:cNvPicPr>
      </xdr:nvPicPr>
      <xdr:blipFill rotWithShape="1">
        <a:blip xmlns:r="http://schemas.openxmlformats.org/officeDocument/2006/relationships" r:embed="rId1"/>
        <a:srcRect l="56190" t="47665" r="38795" b="44810"/>
        <a:stretch>
          <a:fillRect/>
        </a:stretch>
      </xdr:blipFill>
      <xdr:spPr bwMode="auto">
        <a:xfrm>
          <a:off x="6808611" y="5016500"/>
          <a:ext cx="1876779" cy="696087"/>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366889</xdr:colOff>
      <xdr:row>3</xdr:row>
      <xdr:rowOff>28222</xdr:rowOff>
    </xdr:from>
    <xdr:to>
      <xdr:col>1</xdr:col>
      <xdr:colOff>508000</xdr:colOff>
      <xdr:row>3</xdr:row>
      <xdr:rowOff>141111</xdr:rowOff>
    </xdr:to>
    <xdr:sp macro="" textlink="">
      <xdr:nvSpPr>
        <xdr:cNvPr id="2" name="Flowchart: Process 1">
          <a:extLst>
            <a:ext uri="{FF2B5EF4-FFF2-40B4-BE49-F238E27FC236}">
              <a16:creationId xmlns:a16="http://schemas.microsoft.com/office/drawing/2014/main" id="{06C81423-9A24-44FC-9B95-EC4ACD0761C6}"/>
            </a:ext>
          </a:extLst>
        </xdr:cNvPr>
        <xdr:cNvSpPr/>
      </xdr:nvSpPr>
      <xdr:spPr>
        <a:xfrm>
          <a:off x="881239" y="609247"/>
          <a:ext cx="141111" cy="112889"/>
        </a:xfrm>
        <a:prstGeom prst="flowChartProcess">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359833</xdr:colOff>
      <xdr:row>5</xdr:row>
      <xdr:rowOff>35278</xdr:rowOff>
    </xdr:from>
    <xdr:to>
      <xdr:col>1</xdr:col>
      <xdr:colOff>500944</xdr:colOff>
      <xdr:row>5</xdr:row>
      <xdr:rowOff>148167</xdr:rowOff>
    </xdr:to>
    <xdr:sp macro="" textlink="">
      <xdr:nvSpPr>
        <xdr:cNvPr id="3" name="Flowchart: Process 2">
          <a:extLst>
            <a:ext uri="{FF2B5EF4-FFF2-40B4-BE49-F238E27FC236}">
              <a16:creationId xmlns:a16="http://schemas.microsoft.com/office/drawing/2014/main" id="{46A9018F-286A-4824-BD1B-07E757AB1710}"/>
            </a:ext>
            <a:ext uri="{147F2762-F138-4A5C-976F-8EAC2B608ADB}">
              <a16:predDERef xmlns:a16="http://schemas.microsoft.com/office/drawing/2014/main" pred="{06C81423-9A24-44FC-9B95-EC4ACD0761C6}"/>
            </a:ext>
          </a:extLst>
        </xdr:cNvPr>
        <xdr:cNvSpPr/>
      </xdr:nvSpPr>
      <xdr:spPr>
        <a:xfrm>
          <a:off x="874183" y="997303"/>
          <a:ext cx="141111" cy="112889"/>
        </a:xfrm>
        <a:prstGeom prst="flowChartProcess">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345722</xdr:colOff>
      <xdr:row>7</xdr:row>
      <xdr:rowOff>21166</xdr:rowOff>
    </xdr:from>
    <xdr:to>
      <xdr:col>1</xdr:col>
      <xdr:colOff>486833</xdr:colOff>
      <xdr:row>7</xdr:row>
      <xdr:rowOff>134055</xdr:rowOff>
    </xdr:to>
    <xdr:sp macro="" textlink="">
      <xdr:nvSpPr>
        <xdr:cNvPr id="4" name="Flowchart: Process 3">
          <a:extLst>
            <a:ext uri="{FF2B5EF4-FFF2-40B4-BE49-F238E27FC236}">
              <a16:creationId xmlns:a16="http://schemas.microsoft.com/office/drawing/2014/main" id="{ED180B47-4633-4453-9D2A-42E4EC914598}"/>
            </a:ext>
            <a:ext uri="{147F2762-F138-4A5C-976F-8EAC2B608ADB}">
              <a16:predDERef xmlns:a16="http://schemas.microsoft.com/office/drawing/2014/main" pred="{46A9018F-286A-4824-BD1B-07E757AB1710}"/>
            </a:ext>
          </a:extLst>
        </xdr:cNvPr>
        <xdr:cNvSpPr/>
      </xdr:nvSpPr>
      <xdr:spPr>
        <a:xfrm>
          <a:off x="860072" y="1364191"/>
          <a:ext cx="141111" cy="112889"/>
        </a:xfrm>
        <a:prstGeom prst="flowChartProcess">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345723</xdr:colOff>
      <xdr:row>9</xdr:row>
      <xdr:rowOff>21167</xdr:rowOff>
    </xdr:from>
    <xdr:to>
      <xdr:col>1</xdr:col>
      <xdr:colOff>486834</xdr:colOff>
      <xdr:row>9</xdr:row>
      <xdr:rowOff>134056</xdr:rowOff>
    </xdr:to>
    <xdr:sp macro="" textlink="">
      <xdr:nvSpPr>
        <xdr:cNvPr id="5" name="Flowchart: Process 4">
          <a:extLst>
            <a:ext uri="{FF2B5EF4-FFF2-40B4-BE49-F238E27FC236}">
              <a16:creationId xmlns:a16="http://schemas.microsoft.com/office/drawing/2014/main" id="{FC4DED25-0A54-4077-BBEC-DAB39DB655C3}"/>
            </a:ext>
            <a:ext uri="{147F2762-F138-4A5C-976F-8EAC2B608ADB}">
              <a16:predDERef xmlns:a16="http://schemas.microsoft.com/office/drawing/2014/main" pred="{ED180B47-4633-4453-9D2A-42E4EC914598}"/>
            </a:ext>
          </a:extLst>
        </xdr:cNvPr>
        <xdr:cNvSpPr/>
      </xdr:nvSpPr>
      <xdr:spPr>
        <a:xfrm>
          <a:off x="860073" y="1745192"/>
          <a:ext cx="141111" cy="112889"/>
        </a:xfrm>
        <a:prstGeom prst="flowChartProcess">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338666</xdr:colOff>
      <xdr:row>11</xdr:row>
      <xdr:rowOff>35277</xdr:rowOff>
    </xdr:from>
    <xdr:to>
      <xdr:col>1</xdr:col>
      <xdr:colOff>479777</xdr:colOff>
      <xdr:row>11</xdr:row>
      <xdr:rowOff>148166</xdr:rowOff>
    </xdr:to>
    <xdr:sp macro="" textlink="">
      <xdr:nvSpPr>
        <xdr:cNvPr id="6" name="Flowchart: Process 5">
          <a:extLst>
            <a:ext uri="{FF2B5EF4-FFF2-40B4-BE49-F238E27FC236}">
              <a16:creationId xmlns:a16="http://schemas.microsoft.com/office/drawing/2014/main" id="{DDFCE1EF-31F1-444D-AD21-FB64B2C33FB7}"/>
            </a:ext>
            <a:ext uri="{147F2762-F138-4A5C-976F-8EAC2B608ADB}">
              <a16:predDERef xmlns:a16="http://schemas.microsoft.com/office/drawing/2014/main" pred="{FC4DED25-0A54-4077-BBEC-DAB39DB655C3}"/>
            </a:ext>
          </a:extLst>
        </xdr:cNvPr>
        <xdr:cNvSpPr/>
      </xdr:nvSpPr>
      <xdr:spPr>
        <a:xfrm>
          <a:off x="853016" y="2140302"/>
          <a:ext cx="141111" cy="112889"/>
        </a:xfrm>
        <a:prstGeom prst="flowChartProcess">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13</xdr:col>
      <xdr:colOff>2117</xdr:colOff>
      <xdr:row>33</xdr:row>
      <xdr:rowOff>58760</xdr:rowOff>
    </xdr:to>
    <xdr:pic>
      <xdr:nvPicPr>
        <xdr:cNvPr id="2" name="Picture 1" descr="A screenshot of a computer&#10;&#10;AI-generated content may be incorrect.">
          <a:extLst>
            <a:ext uri="{FF2B5EF4-FFF2-40B4-BE49-F238E27FC236}">
              <a16:creationId xmlns:a16="http://schemas.microsoft.com/office/drawing/2014/main" id="{85283F8B-947F-5CF7-004C-DE9EC5477463}"/>
            </a:ext>
          </a:extLst>
        </xdr:cNvPr>
        <xdr:cNvPicPr>
          <a:picLocks noChangeAspect="1"/>
        </xdr:cNvPicPr>
      </xdr:nvPicPr>
      <xdr:blipFill rotWithShape="1">
        <a:blip xmlns:r="http://schemas.openxmlformats.org/officeDocument/2006/relationships" r:embed="rId1"/>
        <a:srcRect l="45860" t="16137" r="37962" b="42369"/>
        <a:stretch>
          <a:fillRect/>
        </a:stretch>
      </xdr:blipFill>
      <xdr:spPr bwMode="auto">
        <a:xfrm>
          <a:off x="0" y="1276350"/>
          <a:ext cx="7612592" cy="49641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452786</xdr:colOff>
      <xdr:row>8</xdr:row>
      <xdr:rowOff>98775</xdr:rowOff>
    </xdr:from>
    <xdr:to>
      <xdr:col>7</xdr:col>
      <xdr:colOff>425237</xdr:colOff>
      <xdr:row>12</xdr:row>
      <xdr:rowOff>173919</xdr:rowOff>
    </xdr:to>
    <xdr:pic>
      <xdr:nvPicPr>
        <xdr:cNvPr id="3" name="Picture 2" descr="A screenshot of a computer&#10;&#10;AI-generated content may be incorrect.">
          <a:extLst>
            <a:ext uri="{FF2B5EF4-FFF2-40B4-BE49-F238E27FC236}">
              <a16:creationId xmlns:a16="http://schemas.microsoft.com/office/drawing/2014/main" id="{33013F18-685F-230D-3E40-D810CF2740FF}"/>
            </a:ext>
          </a:extLst>
        </xdr:cNvPr>
        <xdr:cNvPicPr>
          <a:picLocks noChangeAspect="1"/>
        </xdr:cNvPicPr>
      </xdr:nvPicPr>
      <xdr:blipFill rotWithShape="1">
        <a:blip xmlns:r="http://schemas.openxmlformats.org/officeDocument/2006/relationships" r:embed="rId1"/>
        <a:srcRect l="56190" t="19828" r="38795" b="73251"/>
        <a:stretch>
          <a:fillRect/>
        </a:stretch>
      </xdr:blipFill>
      <xdr:spPr bwMode="auto">
        <a:xfrm>
          <a:off x="2336619" y="1756831"/>
          <a:ext cx="2399562" cy="81844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465668</xdr:colOff>
      <xdr:row>17</xdr:row>
      <xdr:rowOff>112888</xdr:rowOff>
    </xdr:from>
    <xdr:to>
      <xdr:col>7</xdr:col>
      <xdr:colOff>463133</xdr:colOff>
      <xdr:row>21</xdr:row>
      <xdr:rowOff>169334</xdr:rowOff>
    </xdr:to>
    <xdr:pic>
      <xdr:nvPicPr>
        <xdr:cNvPr id="4" name="Picture 3" descr="A screenshot of a computer&#10;&#10;AI-generated content may be incorrect.">
          <a:extLst>
            <a:ext uri="{FF2B5EF4-FFF2-40B4-BE49-F238E27FC236}">
              <a16:creationId xmlns:a16="http://schemas.microsoft.com/office/drawing/2014/main" id="{9EEE17F3-9F80-11E7-4B04-825EEC44F5F4}"/>
            </a:ext>
          </a:extLst>
        </xdr:cNvPr>
        <xdr:cNvPicPr>
          <a:picLocks noChangeAspect="1"/>
        </xdr:cNvPicPr>
      </xdr:nvPicPr>
      <xdr:blipFill rotWithShape="1">
        <a:blip xmlns:r="http://schemas.openxmlformats.org/officeDocument/2006/relationships" r:embed="rId1"/>
        <a:srcRect l="56190" t="26749" r="38795" b="66637"/>
        <a:stretch>
          <a:fillRect/>
        </a:stretch>
      </xdr:blipFill>
      <xdr:spPr bwMode="auto">
        <a:xfrm>
          <a:off x="2349501" y="3421944"/>
          <a:ext cx="2424576" cy="79022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479778</xdr:colOff>
      <xdr:row>13</xdr:row>
      <xdr:rowOff>28222</xdr:rowOff>
    </xdr:from>
    <xdr:to>
      <xdr:col>7</xdr:col>
      <xdr:colOff>420294</xdr:colOff>
      <xdr:row>17</xdr:row>
      <xdr:rowOff>119943</xdr:rowOff>
    </xdr:to>
    <xdr:pic>
      <xdr:nvPicPr>
        <xdr:cNvPr id="5" name="Picture 4" descr="A screenshot of a computer&#10;&#10;AI-generated content may be incorrect.">
          <a:extLst>
            <a:ext uri="{FF2B5EF4-FFF2-40B4-BE49-F238E27FC236}">
              <a16:creationId xmlns:a16="http://schemas.microsoft.com/office/drawing/2014/main" id="{21BD5BD5-6404-1028-D43F-602151283A91}"/>
            </a:ext>
          </a:extLst>
        </xdr:cNvPr>
        <xdr:cNvPicPr>
          <a:picLocks noChangeAspect="1"/>
        </xdr:cNvPicPr>
      </xdr:nvPicPr>
      <xdr:blipFill rotWithShape="1">
        <a:blip xmlns:r="http://schemas.openxmlformats.org/officeDocument/2006/relationships" r:embed="rId1"/>
        <a:srcRect l="56190" t="33669" r="38795" b="59255"/>
        <a:stretch>
          <a:fillRect/>
        </a:stretch>
      </xdr:blipFill>
      <xdr:spPr bwMode="auto">
        <a:xfrm>
          <a:off x="2363611" y="2603500"/>
          <a:ext cx="2367627" cy="82549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437446</xdr:colOff>
      <xdr:row>26</xdr:row>
      <xdr:rowOff>155222</xdr:rowOff>
    </xdr:from>
    <xdr:to>
      <xdr:col>7</xdr:col>
      <xdr:colOff>485584</xdr:colOff>
      <xdr:row>31</xdr:row>
      <xdr:rowOff>63500</xdr:rowOff>
    </xdr:to>
    <xdr:pic>
      <xdr:nvPicPr>
        <xdr:cNvPr id="6" name="Picture 5" descr="A screenshot of a computer&#10;&#10;AI-generated content may be incorrect.">
          <a:extLst>
            <a:ext uri="{FF2B5EF4-FFF2-40B4-BE49-F238E27FC236}">
              <a16:creationId xmlns:a16="http://schemas.microsoft.com/office/drawing/2014/main" id="{9BE5A7B2-BF49-8CA6-F070-B59FE5BB8BD5}"/>
            </a:ext>
          </a:extLst>
        </xdr:cNvPr>
        <xdr:cNvPicPr>
          <a:picLocks noChangeAspect="1"/>
        </xdr:cNvPicPr>
      </xdr:nvPicPr>
      <xdr:blipFill rotWithShape="1">
        <a:blip xmlns:r="http://schemas.openxmlformats.org/officeDocument/2006/relationships" r:embed="rId1"/>
        <a:srcRect l="56190" t="40590" r="38795" b="52641"/>
        <a:stretch>
          <a:fillRect/>
        </a:stretch>
      </xdr:blipFill>
      <xdr:spPr bwMode="auto">
        <a:xfrm>
          <a:off x="2321279" y="5115278"/>
          <a:ext cx="2475249" cy="8255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465666</xdr:colOff>
      <xdr:row>22</xdr:row>
      <xdr:rowOff>63499</xdr:rowOff>
    </xdr:from>
    <xdr:to>
      <xdr:col>7</xdr:col>
      <xdr:colOff>472723</xdr:colOff>
      <xdr:row>27</xdr:row>
      <xdr:rowOff>49096</xdr:rowOff>
    </xdr:to>
    <xdr:pic>
      <xdr:nvPicPr>
        <xdr:cNvPr id="7" name="Picture 6" descr="A screenshot of a computer&#10;&#10;AI-generated content may be incorrect.">
          <a:extLst>
            <a:ext uri="{FF2B5EF4-FFF2-40B4-BE49-F238E27FC236}">
              <a16:creationId xmlns:a16="http://schemas.microsoft.com/office/drawing/2014/main" id="{A3768BA0-22AA-D6A7-F5F8-EFE4ED038CC5}"/>
            </a:ext>
          </a:extLst>
        </xdr:cNvPr>
        <xdr:cNvPicPr>
          <a:picLocks noChangeAspect="1"/>
        </xdr:cNvPicPr>
      </xdr:nvPicPr>
      <xdr:blipFill rotWithShape="1">
        <a:blip xmlns:r="http://schemas.openxmlformats.org/officeDocument/2006/relationships" r:embed="rId1"/>
        <a:srcRect l="56190" t="47665" r="38795" b="44810"/>
        <a:stretch>
          <a:fillRect/>
        </a:stretch>
      </xdr:blipFill>
      <xdr:spPr bwMode="auto">
        <a:xfrm>
          <a:off x="2349499" y="4289777"/>
          <a:ext cx="2434168" cy="90281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0DF24-1376-4218-BB28-4BDA20D1E11D}">
  <dimension ref="A1:M47"/>
  <sheetViews>
    <sheetView tabSelected="1" zoomScale="90" zoomScaleNormal="90" workbookViewId="0">
      <selection activeCell="F25" sqref="F25"/>
    </sheetView>
  </sheetViews>
  <sheetFormatPr defaultColWidth="8.7265625" defaultRowHeight="14.5"/>
  <cols>
    <col min="1" max="1" width="7" style="1" customWidth="1"/>
    <col min="2" max="2" width="6.26953125" style="1" customWidth="1"/>
    <col min="3" max="3" width="15.7265625" style="1" customWidth="1"/>
    <col min="4" max="4" width="11.7265625" style="1" customWidth="1"/>
    <col min="5" max="5" width="12.453125" style="1" customWidth="1"/>
    <col min="6" max="6" width="17.26953125" style="1" customWidth="1"/>
    <col min="7" max="7" width="11.453125" style="1" customWidth="1"/>
    <col min="8" max="10" width="8.7265625" style="1"/>
    <col min="11" max="59" width="10.7265625" style="1" customWidth="1"/>
    <col min="60" max="16384" width="8.7265625" style="1"/>
  </cols>
  <sheetData>
    <row r="1" spans="1:13">
      <c r="A1" s="28" t="s">
        <v>0</v>
      </c>
      <c r="B1" s="17"/>
      <c r="C1" s="17"/>
      <c r="D1" s="17"/>
      <c r="E1" s="17"/>
      <c r="F1" s="17"/>
      <c r="G1" s="17"/>
      <c r="H1" s="18"/>
    </row>
    <row r="2" spans="1:13">
      <c r="A2" s="23"/>
      <c r="H2" s="20"/>
    </row>
    <row r="3" spans="1:13">
      <c r="A3" s="23"/>
      <c r="B3" s="1" t="s">
        <v>1</v>
      </c>
      <c r="H3" s="20"/>
    </row>
    <row r="4" spans="1:13">
      <c r="A4" s="23"/>
      <c r="H4" s="20"/>
    </row>
    <row r="5" spans="1:13" ht="29">
      <c r="A5" s="23"/>
      <c r="B5" s="400" t="s">
        <v>2</v>
      </c>
      <c r="C5" s="401" t="s">
        <v>3</v>
      </c>
      <c r="D5" s="401" t="s">
        <v>4</v>
      </c>
      <c r="E5" s="401" t="s">
        <v>5</v>
      </c>
      <c r="F5" s="401" t="s">
        <v>6</v>
      </c>
      <c r="G5" s="402" t="s">
        <v>7</v>
      </c>
      <c r="H5" s="20"/>
    </row>
    <row r="6" spans="1:13">
      <c r="A6" s="23"/>
      <c r="B6" s="403">
        <v>1</v>
      </c>
      <c r="C6" s="404">
        <v>3754250000</v>
      </c>
      <c r="D6" s="404">
        <v>17</v>
      </c>
      <c r="E6" s="404">
        <v>16462</v>
      </c>
      <c r="F6" s="404">
        <v>1234685000</v>
      </c>
      <c r="G6" s="405">
        <v>1275000</v>
      </c>
      <c r="H6" s="20"/>
      <c r="J6" s="278"/>
      <c r="K6" s="277"/>
      <c r="L6" s="278"/>
      <c r="M6" s="278"/>
    </row>
    <row r="7" spans="1:13">
      <c r="A7" s="23"/>
      <c r="B7" s="403">
        <v>2</v>
      </c>
      <c r="C7" s="404">
        <v>5631375000</v>
      </c>
      <c r="D7" s="404" t="s">
        <v>8</v>
      </c>
      <c r="E7" s="404">
        <v>31734</v>
      </c>
      <c r="F7" s="404">
        <v>2469370000</v>
      </c>
      <c r="G7" s="405">
        <v>2550000</v>
      </c>
      <c r="H7" s="20"/>
      <c r="J7" s="278"/>
      <c r="K7" s="277"/>
      <c r="L7" s="278"/>
      <c r="M7" s="278"/>
    </row>
    <row r="8" spans="1:13">
      <c r="A8" s="23"/>
      <c r="B8" s="403">
        <v>3</v>
      </c>
      <c r="C8" s="404">
        <v>1242215070</v>
      </c>
      <c r="D8" s="404">
        <v>10</v>
      </c>
      <c r="E8" s="404">
        <v>9146</v>
      </c>
      <c r="F8" s="404">
        <v>726285294</v>
      </c>
      <c r="G8" s="405">
        <v>750000</v>
      </c>
      <c r="H8" s="20"/>
      <c r="J8" s="278"/>
      <c r="K8" s="277"/>
      <c r="L8" s="278"/>
      <c r="M8" s="278"/>
    </row>
    <row r="9" spans="1:13">
      <c r="A9" s="23"/>
      <c r="B9" s="403">
        <v>4</v>
      </c>
      <c r="C9" s="404">
        <v>4378808120</v>
      </c>
      <c r="D9" s="404">
        <v>47</v>
      </c>
      <c r="E9" s="404">
        <v>43519</v>
      </c>
      <c r="F9" s="404">
        <v>3413540882</v>
      </c>
      <c r="G9" s="405">
        <v>3525000</v>
      </c>
      <c r="H9" s="20"/>
      <c r="J9" s="278"/>
      <c r="K9" s="277"/>
      <c r="L9" s="278"/>
      <c r="M9" s="278"/>
    </row>
    <row r="10" spans="1:13">
      <c r="A10" s="23"/>
      <c r="B10" s="403">
        <v>5</v>
      </c>
      <c r="C10" s="404">
        <v>838495170</v>
      </c>
      <c r="D10" s="404">
        <v>12</v>
      </c>
      <c r="E10" s="404">
        <v>11842</v>
      </c>
      <c r="F10" s="404">
        <v>871542353</v>
      </c>
      <c r="G10" s="405">
        <v>900000</v>
      </c>
      <c r="H10" s="20"/>
      <c r="J10" s="278"/>
      <c r="K10" s="277"/>
      <c r="L10" s="278"/>
      <c r="M10" s="278"/>
    </row>
    <row r="11" spans="1:13">
      <c r="A11" s="23"/>
      <c r="B11" s="403">
        <v>6</v>
      </c>
      <c r="C11" s="404">
        <v>946800800</v>
      </c>
      <c r="D11" s="404" t="s">
        <v>8</v>
      </c>
      <c r="E11" s="404">
        <v>14321</v>
      </c>
      <c r="F11" s="404">
        <v>1312155431</v>
      </c>
      <c r="G11" s="405">
        <v>1355000</v>
      </c>
      <c r="H11" s="20"/>
      <c r="J11" s="278"/>
      <c r="K11" s="277"/>
      <c r="L11" s="278"/>
      <c r="M11" s="278"/>
    </row>
    <row r="12" spans="1:13">
      <c r="A12" s="23"/>
      <c r="B12" s="403">
        <v>7</v>
      </c>
      <c r="C12" s="404">
        <v>982611530</v>
      </c>
      <c r="D12" s="404">
        <v>25</v>
      </c>
      <c r="E12" s="404">
        <v>24038</v>
      </c>
      <c r="F12" s="404">
        <v>1815713235</v>
      </c>
      <c r="G12" s="405">
        <v>1875000</v>
      </c>
      <c r="H12" s="20"/>
      <c r="J12" s="278"/>
      <c r="K12" s="277"/>
      <c r="L12" s="278"/>
      <c r="M12" s="278"/>
    </row>
    <row r="13" spans="1:13">
      <c r="A13" s="23"/>
      <c r="B13" s="403">
        <v>8</v>
      </c>
      <c r="C13" s="404">
        <v>913828720</v>
      </c>
      <c r="D13" s="404">
        <v>31</v>
      </c>
      <c r="E13" s="404">
        <v>33604</v>
      </c>
      <c r="F13" s="404">
        <v>2251484412</v>
      </c>
      <c r="G13" s="405">
        <v>2325000</v>
      </c>
      <c r="H13" s="20"/>
      <c r="J13" s="278"/>
      <c r="K13" s="277"/>
      <c r="L13" s="278"/>
      <c r="M13" s="278"/>
    </row>
    <row r="14" spans="1:13">
      <c r="A14" s="23"/>
      <c r="B14" s="403">
        <v>9</v>
      </c>
      <c r="C14" s="404">
        <v>1370743080</v>
      </c>
      <c r="D14" s="404">
        <v>62</v>
      </c>
      <c r="E14" s="404">
        <v>56024</v>
      </c>
      <c r="F14" s="404">
        <v>4502968824</v>
      </c>
      <c r="G14" s="405">
        <v>4650000</v>
      </c>
      <c r="H14" s="42"/>
      <c r="I14" s="22"/>
      <c r="J14" s="278"/>
      <c r="K14" s="277"/>
      <c r="L14" s="278"/>
      <c r="M14" s="278"/>
    </row>
    <row r="15" spans="1:13">
      <c r="A15" s="23"/>
      <c r="B15" s="406">
        <v>10</v>
      </c>
      <c r="C15" s="407">
        <v>215560400</v>
      </c>
      <c r="D15" s="407">
        <v>13</v>
      </c>
      <c r="E15" s="407">
        <v>12500</v>
      </c>
      <c r="F15" s="407">
        <v>944170882</v>
      </c>
      <c r="G15" s="408">
        <v>975000</v>
      </c>
      <c r="H15" s="20"/>
      <c r="J15" s="278"/>
      <c r="K15" s="277"/>
      <c r="L15" s="278"/>
      <c r="M15" s="278"/>
    </row>
    <row r="16" spans="1:13">
      <c r="A16" s="21"/>
      <c r="H16" s="20"/>
    </row>
    <row r="17" spans="1:8">
      <c r="A17" s="21"/>
      <c r="B17" s="396" t="s">
        <v>9</v>
      </c>
      <c r="C17" s="1" t="s">
        <v>3</v>
      </c>
      <c r="H17" s="20"/>
    </row>
    <row r="18" spans="1:8">
      <c r="A18" s="23"/>
      <c r="B18" s="396"/>
      <c r="H18" s="20"/>
    </row>
    <row r="19" spans="1:8">
      <c r="A19" s="23"/>
      <c r="B19" s="396" t="s">
        <v>10</v>
      </c>
      <c r="C19" s="1" t="s">
        <v>4</v>
      </c>
      <c r="H19" s="20"/>
    </row>
    <row r="20" spans="1:8">
      <c r="A20" s="23"/>
      <c r="B20" s="396"/>
      <c r="H20" s="20"/>
    </row>
    <row r="21" spans="1:8">
      <c r="A21" s="23"/>
      <c r="B21" s="396" t="s">
        <v>11</v>
      </c>
      <c r="C21" s="1" t="s">
        <v>5</v>
      </c>
      <c r="H21" s="20"/>
    </row>
    <row r="22" spans="1:8">
      <c r="A22" s="23"/>
      <c r="B22" s="396"/>
      <c r="H22" s="20"/>
    </row>
    <row r="23" spans="1:8">
      <c r="A23" s="23"/>
      <c r="B23" s="396" t="s">
        <v>12</v>
      </c>
      <c r="C23" s="1" t="s">
        <v>6</v>
      </c>
      <c r="H23" s="20"/>
    </row>
    <row r="24" spans="1:8" ht="15" thickBot="1">
      <c r="A24" s="25"/>
      <c r="B24" s="26"/>
      <c r="C24" s="26"/>
      <c r="D24" s="26"/>
      <c r="E24" s="26"/>
      <c r="F24" s="26"/>
      <c r="G24" s="26"/>
      <c r="H24" s="27"/>
    </row>
    <row r="30" spans="1:8">
      <c r="A30" s="130"/>
      <c r="F30" s="61"/>
    </row>
    <row r="31" spans="1:8">
      <c r="A31" s="59"/>
    </row>
    <row r="32" spans="1:8">
      <c r="A32" s="59"/>
    </row>
    <row r="35" spans="1:2">
      <c r="B35" s="129"/>
    </row>
    <row r="36" spans="1:2">
      <c r="B36" s="129"/>
    </row>
    <row r="37" spans="1:2">
      <c r="B37" s="129"/>
    </row>
    <row r="38" spans="1:2">
      <c r="B38" s="129"/>
    </row>
    <row r="39" spans="1:2">
      <c r="B39" s="129"/>
    </row>
    <row r="40" spans="1:2">
      <c r="B40" s="129"/>
    </row>
    <row r="41" spans="1:2">
      <c r="B41" s="129"/>
    </row>
    <row r="42" spans="1:2">
      <c r="A42" s="22"/>
    </row>
    <row r="44" spans="1:2">
      <c r="A44" s="59"/>
    </row>
    <row r="45" spans="1:2">
      <c r="A45" s="59"/>
    </row>
    <row r="46" spans="1:2">
      <c r="A46" s="131"/>
    </row>
    <row r="47" spans="1:2">
      <c r="A47" s="59"/>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47B8-CAA5-4A8B-9DF5-03C79A445214}">
  <dimension ref="A1:M13"/>
  <sheetViews>
    <sheetView zoomScale="90" zoomScaleNormal="90" workbookViewId="0"/>
  </sheetViews>
  <sheetFormatPr defaultRowHeight="14.5"/>
  <cols>
    <col min="1" max="1" width="7.26953125" customWidth="1"/>
    <col min="3" max="3" width="2.7265625" bestFit="1" customWidth="1"/>
    <col min="4" max="13" width="13" customWidth="1"/>
  </cols>
  <sheetData>
    <row r="1" spans="1:13">
      <c r="A1" s="28" t="s">
        <v>0</v>
      </c>
      <c r="B1" s="17"/>
      <c r="C1" s="17"/>
      <c r="D1" s="17"/>
      <c r="E1" s="17"/>
      <c r="F1" s="17"/>
      <c r="G1" s="17"/>
      <c r="H1" s="17"/>
      <c r="I1" s="17"/>
      <c r="J1" s="17"/>
      <c r="K1" s="17"/>
      <c r="L1" s="17"/>
      <c r="M1" s="18"/>
    </row>
    <row r="2" spans="1:13">
      <c r="A2" s="23"/>
      <c r="B2" s="1" t="s">
        <v>126</v>
      </c>
      <c r="C2" s="1"/>
      <c r="D2" s="1"/>
      <c r="E2" s="1"/>
      <c r="F2" s="1"/>
      <c r="G2" s="1"/>
      <c r="H2" s="1"/>
      <c r="I2" s="1"/>
      <c r="J2" s="1"/>
      <c r="K2" s="1"/>
      <c r="L2" s="1"/>
      <c r="M2" s="20"/>
    </row>
    <row r="3" spans="1:13">
      <c r="A3" s="23"/>
      <c r="B3" s="1"/>
      <c r="C3" s="1"/>
      <c r="D3" s="1"/>
      <c r="E3" s="1"/>
      <c r="F3" s="1"/>
      <c r="G3" s="1"/>
      <c r="H3" s="1"/>
      <c r="I3" s="1"/>
      <c r="J3" s="1"/>
      <c r="K3" s="1"/>
      <c r="L3" s="1"/>
      <c r="M3" s="20"/>
    </row>
    <row r="4" spans="1:13">
      <c r="A4" s="23"/>
      <c r="B4" s="1"/>
      <c r="C4" s="1" t="s">
        <v>9</v>
      </c>
      <c r="D4" s="1" t="s">
        <v>127</v>
      </c>
      <c r="E4" s="1"/>
      <c r="F4" s="1"/>
      <c r="G4" s="1"/>
      <c r="H4" s="1"/>
      <c r="I4" s="1"/>
      <c r="J4" s="1"/>
      <c r="K4" s="1"/>
      <c r="L4" s="1"/>
      <c r="M4" s="20"/>
    </row>
    <row r="5" spans="1:13">
      <c r="A5" s="23"/>
      <c r="B5" s="1"/>
      <c r="C5" s="1"/>
      <c r="D5" s="1"/>
      <c r="E5" s="1"/>
      <c r="F5" s="1"/>
      <c r="G5" s="1"/>
      <c r="H5" s="1"/>
      <c r="I5" s="1"/>
      <c r="J5" s="1"/>
      <c r="K5" s="1"/>
      <c r="L5" s="1"/>
      <c r="M5" s="20"/>
    </row>
    <row r="6" spans="1:13">
      <c r="A6" s="23"/>
      <c r="B6" s="129"/>
      <c r="C6" s="1" t="s">
        <v>10</v>
      </c>
      <c r="D6" s="1" t="s">
        <v>128</v>
      </c>
      <c r="E6" s="1"/>
      <c r="F6" s="1"/>
      <c r="G6" s="1"/>
      <c r="H6" s="1"/>
      <c r="I6" s="1"/>
      <c r="J6" s="1"/>
      <c r="K6" s="1"/>
      <c r="L6" s="1"/>
      <c r="M6" s="20"/>
    </row>
    <row r="7" spans="1:13">
      <c r="A7" s="23"/>
      <c r="B7" s="129"/>
      <c r="C7" s="1"/>
      <c r="D7" s="1"/>
      <c r="E7" s="1"/>
      <c r="F7" s="1"/>
      <c r="G7" s="1"/>
      <c r="H7" s="1"/>
      <c r="I7" s="1"/>
      <c r="J7" s="1"/>
      <c r="K7" s="1"/>
      <c r="L7" s="1"/>
      <c r="M7" s="20"/>
    </row>
    <row r="8" spans="1:13">
      <c r="A8" s="23"/>
      <c r="B8" s="129"/>
      <c r="C8" s="1" t="s">
        <v>11</v>
      </c>
      <c r="D8" s="1" t="s">
        <v>129</v>
      </c>
      <c r="E8" s="1"/>
      <c r="F8" s="1"/>
      <c r="G8" s="1"/>
      <c r="H8" s="1"/>
      <c r="I8" s="1"/>
      <c r="J8" s="1"/>
      <c r="K8" s="1"/>
      <c r="L8" s="1"/>
      <c r="M8" s="20"/>
    </row>
    <row r="9" spans="1:13">
      <c r="A9" s="23"/>
      <c r="B9" s="129"/>
      <c r="C9" s="1"/>
      <c r="D9" s="1"/>
      <c r="E9" s="1"/>
      <c r="F9" s="1"/>
      <c r="G9" s="1"/>
      <c r="H9" s="1"/>
      <c r="I9" s="1"/>
      <c r="J9" s="1"/>
      <c r="K9" s="1"/>
      <c r="L9" s="1"/>
      <c r="M9" s="20"/>
    </row>
    <row r="10" spans="1:13">
      <c r="A10" s="23"/>
      <c r="B10" s="129"/>
      <c r="C10" s="1" t="s">
        <v>12</v>
      </c>
      <c r="D10" s="1" t="s">
        <v>130</v>
      </c>
      <c r="E10" s="1"/>
      <c r="F10" s="1"/>
      <c r="G10" s="1"/>
      <c r="H10" s="1"/>
      <c r="I10" s="1"/>
      <c r="J10" s="1"/>
      <c r="K10" s="1"/>
      <c r="L10" s="1"/>
      <c r="M10" s="20"/>
    </row>
    <row r="11" spans="1:13">
      <c r="A11" s="23"/>
      <c r="B11" s="129"/>
      <c r="C11" s="1"/>
      <c r="D11" s="1"/>
      <c r="E11" s="1"/>
      <c r="F11" s="1"/>
      <c r="G11" s="1"/>
      <c r="H11" s="1"/>
      <c r="I11" s="1"/>
      <c r="J11" s="1"/>
      <c r="K11" s="1"/>
      <c r="L11" s="1"/>
      <c r="M11" s="20"/>
    </row>
    <row r="12" spans="1:13">
      <c r="A12" s="23"/>
      <c r="B12" s="129"/>
      <c r="C12" s="1" t="s">
        <v>101</v>
      </c>
      <c r="D12" s="1" t="s">
        <v>131</v>
      </c>
      <c r="E12" s="1"/>
      <c r="F12" s="1"/>
      <c r="G12" s="1"/>
      <c r="H12" s="1"/>
      <c r="I12" s="1"/>
      <c r="J12" s="1"/>
      <c r="K12" s="1"/>
      <c r="L12" s="1"/>
      <c r="M12" s="20"/>
    </row>
    <row r="13" spans="1:13">
      <c r="A13" s="25"/>
      <c r="B13" s="394"/>
      <c r="C13" s="26"/>
      <c r="D13" s="26"/>
      <c r="E13" s="26"/>
      <c r="F13" s="26"/>
      <c r="G13" s="26"/>
      <c r="H13" s="26"/>
      <c r="I13" s="26"/>
      <c r="J13" s="26"/>
      <c r="K13" s="26"/>
      <c r="L13" s="26"/>
      <c r="M13" s="27"/>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2F96C-F64D-4444-A537-F95F12D611C2}">
  <dimension ref="A1:P50"/>
  <sheetViews>
    <sheetView zoomScale="90" zoomScaleNormal="90" workbookViewId="0"/>
  </sheetViews>
  <sheetFormatPr defaultColWidth="8.7265625" defaultRowHeight="14.5"/>
  <cols>
    <col min="1" max="1" width="9.453125" style="1" bestFit="1" customWidth="1"/>
    <col min="2" max="2" width="6.453125" style="1" customWidth="1"/>
    <col min="3" max="3" width="14.54296875" style="1" customWidth="1"/>
    <col min="4" max="4" width="10.453125" style="1" customWidth="1"/>
    <col min="5" max="5" width="12.7265625" style="1" customWidth="1"/>
    <col min="6" max="6" width="18" style="1" customWidth="1"/>
    <col min="7" max="7" width="11.453125" style="1" customWidth="1"/>
    <col min="8" max="9" width="8.7265625" style="1"/>
    <col min="10" max="11" width="11.453125" style="1" customWidth="1"/>
    <col min="12" max="12" width="12.26953125" style="1" customWidth="1"/>
    <col min="13" max="16384" width="8.7265625" style="1"/>
  </cols>
  <sheetData>
    <row r="1" spans="1:16">
      <c r="A1" s="135" t="s">
        <v>132</v>
      </c>
      <c r="B1" s="1" t="s">
        <v>0</v>
      </c>
    </row>
    <row r="2" spans="1:16">
      <c r="A2" s="135" t="s">
        <v>133</v>
      </c>
      <c r="B2" s="1" t="s">
        <v>134</v>
      </c>
    </row>
    <row r="3" spans="1:16">
      <c r="A3" s="135" t="s">
        <v>135</v>
      </c>
      <c r="B3" s="1" t="s">
        <v>136</v>
      </c>
    </row>
    <row r="4" spans="1:16">
      <c r="A4" s="135" t="s">
        <v>137</v>
      </c>
      <c r="B4" s="1" t="s">
        <v>138</v>
      </c>
    </row>
    <row r="5" spans="1:16">
      <c r="A5" s="135" t="s">
        <v>139</v>
      </c>
      <c r="B5" s="1" t="s">
        <v>140</v>
      </c>
      <c r="P5" s="129"/>
    </row>
    <row r="6" spans="1:16">
      <c r="P6" s="129"/>
    </row>
    <row r="7" spans="1:16">
      <c r="A7" s="1" t="s">
        <v>1</v>
      </c>
      <c r="P7" s="129"/>
    </row>
    <row r="8" spans="1:16">
      <c r="P8" s="129"/>
    </row>
    <row r="9" spans="1:16" ht="29">
      <c r="B9" s="400" t="s">
        <v>2</v>
      </c>
      <c r="C9" s="401" t="s">
        <v>3</v>
      </c>
      <c r="D9" s="401" t="s">
        <v>4</v>
      </c>
      <c r="E9" s="401" t="s">
        <v>5</v>
      </c>
      <c r="F9" s="401" t="s">
        <v>6</v>
      </c>
      <c r="G9" s="402" t="s">
        <v>7</v>
      </c>
      <c r="P9" s="129"/>
    </row>
    <row r="10" spans="1:16">
      <c r="B10" s="403">
        <v>1</v>
      </c>
      <c r="C10" s="404">
        <v>3754250000</v>
      </c>
      <c r="D10" s="404">
        <v>17</v>
      </c>
      <c r="E10" s="404">
        <v>16462</v>
      </c>
      <c r="F10" s="404">
        <v>1234685000</v>
      </c>
      <c r="G10" s="405">
        <v>1275000</v>
      </c>
      <c r="P10" s="129"/>
    </row>
    <row r="11" spans="1:16">
      <c r="B11" s="403">
        <v>2</v>
      </c>
      <c r="C11" s="404">
        <v>5631375000</v>
      </c>
      <c r="D11" s="404" t="s">
        <v>8</v>
      </c>
      <c r="E11" s="404">
        <v>31734</v>
      </c>
      <c r="F11" s="404">
        <v>2469370000</v>
      </c>
      <c r="G11" s="405">
        <v>2550000</v>
      </c>
      <c r="P11" s="129"/>
    </row>
    <row r="12" spans="1:16">
      <c r="B12" s="403">
        <v>3</v>
      </c>
      <c r="C12" s="404">
        <v>1242215070</v>
      </c>
      <c r="D12" s="404">
        <v>10</v>
      </c>
      <c r="E12" s="404">
        <v>9146</v>
      </c>
      <c r="F12" s="404">
        <v>726285294</v>
      </c>
      <c r="G12" s="405">
        <v>750000</v>
      </c>
    </row>
    <row r="13" spans="1:16">
      <c r="B13" s="403">
        <v>4</v>
      </c>
      <c r="C13" s="404">
        <v>4378808120</v>
      </c>
      <c r="D13" s="404">
        <v>47</v>
      </c>
      <c r="E13" s="404">
        <v>43519</v>
      </c>
      <c r="F13" s="404">
        <v>3413540882</v>
      </c>
      <c r="G13" s="405">
        <v>3525000</v>
      </c>
    </row>
    <row r="14" spans="1:16">
      <c r="B14" s="403">
        <v>5</v>
      </c>
      <c r="C14" s="404">
        <v>838495170</v>
      </c>
      <c r="D14" s="404">
        <v>12</v>
      </c>
      <c r="E14" s="404">
        <v>11842</v>
      </c>
      <c r="F14" s="404">
        <v>871542353</v>
      </c>
      <c r="G14" s="405">
        <v>900000</v>
      </c>
    </row>
    <row r="15" spans="1:16">
      <c r="B15" s="403">
        <v>6</v>
      </c>
      <c r="C15" s="404">
        <v>946800800</v>
      </c>
      <c r="D15" s="404" t="s">
        <v>8</v>
      </c>
      <c r="E15" s="404">
        <v>14321</v>
      </c>
      <c r="F15" s="404">
        <v>1312155431</v>
      </c>
      <c r="G15" s="405">
        <v>1355000</v>
      </c>
    </row>
    <row r="16" spans="1:16">
      <c r="B16" s="403">
        <v>7</v>
      </c>
      <c r="C16" s="404">
        <v>982611530</v>
      </c>
      <c r="D16" s="404">
        <v>25</v>
      </c>
      <c r="E16" s="404">
        <v>24038</v>
      </c>
      <c r="F16" s="404">
        <v>1815713235</v>
      </c>
      <c r="G16" s="405">
        <v>1875000</v>
      </c>
    </row>
    <row r="17" spans="1:14">
      <c r="B17" s="403">
        <v>8</v>
      </c>
      <c r="C17" s="404">
        <v>913828720</v>
      </c>
      <c r="D17" s="404">
        <v>31</v>
      </c>
      <c r="E17" s="404">
        <v>33604</v>
      </c>
      <c r="F17" s="404">
        <v>2251484412</v>
      </c>
      <c r="G17" s="405">
        <v>2325000</v>
      </c>
    </row>
    <row r="18" spans="1:14">
      <c r="B18" s="403">
        <v>9</v>
      </c>
      <c r="C18" s="404">
        <v>1370743080</v>
      </c>
      <c r="D18" s="404">
        <v>62</v>
      </c>
      <c r="E18" s="404">
        <v>56024</v>
      </c>
      <c r="F18" s="404">
        <v>4502968824</v>
      </c>
      <c r="G18" s="405">
        <v>4650000</v>
      </c>
    </row>
    <row r="19" spans="1:14">
      <c r="B19" s="406">
        <v>10</v>
      </c>
      <c r="C19" s="407">
        <v>215560400</v>
      </c>
      <c r="D19" s="407">
        <v>13</v>
      </c>
      <c r="E19" s="407">
        <v>12500</v>
      </c>
      <c r="F19" s="407">
        <v>944170882</v>
      </c>
      <c r="G19" s="408">
        <v>975000</v>
      </c>
    </row>
    <row r="21" spans="1:14">
      <c r="A21" s="396" t="s">
        <v>9</v>
      </c>
      <c r="B21" s="1" t="s">
        <v>3</v>
      </c>
    </row>
    <row r="22" spans="1:14">
      <c r="A22" s="396"/>
    </row>
    <row r="23" spans="1:14">
      <c r="A23" s="396" t="s">
        <v>10</v>
      </c>
      <c r="B23" s="1" t="s">
        <v>4</v>
      </c>
    </row>
    <row r="24" spans="1:14">
      <c r="A24" s="396"/>
    </row>
    <row r="25" spans="1:14">
      <c r="A25" s="396" t="s">
        <v>11</v>
      </c>
      <c r="B25" s="1" t="s">
        <v>5</v>
      </c>
    </row>
    <row r="26" spans="1:14">
      <c r="A26" s="396"/>
    </row>
    <row r="27" spans="1:14">
      <c r="A27" s="397" t="s">
        <v>12</v>
      </c>
      <c r="B27" s="395" t="s">
        <v>6</v>
      </c>
      <c r="C27" s="395"/>
    </row>
    <row r="28" spans="1:14">
      <c r="A28" s="271"/>
    </row>
    <row r="29" spans="1:14">
      <c r="A29" s="271"/>
    </row>
    <row r="30" spans="1:14" ht="14.65" customHeight="1">
      <c r="A30" s="1" t="s">
        <v>141</v>
      </c>
      <c r="J30" s="522" t="s">
        <v>142</v>
      </c>
      <c r="K30" s="522"/>
      <c r="L30" s="522"/>
      <c r="M30" s="522"/>
    </row>
    <row r="31" spans="1:14" ht="29">
      <c r="B31" s="409" t="s">
        <v>2</v>
      </c>
      <c r="C31" s="398" t="s">
        <v>3</v>
      </c>
      <c r="D31" s="398" t="s">
        <v>4</v>
      </c>
      <c r="E31" s="398" t="s">
        <v>5</v>
      </c>
      <c r="F31" s="398" t="s">
        <v>6</v>
      </c>
      <c r="G31" s="398" t="s">
        <v>7</v>
      </c>
      <c r="H31"/>
      <c r="I31" s="410"/>
      <c r="J31" s="398" t="s">
        <v>143</v>
      </c>
      <c r="K31" s="398" t="s">
        <v>4</v>
      </c>
      <c r="L31" s="398" t="s">
        <v>5</v>
      </c>
      <c r="M31" s="398" t="s">
        <v>144</v>
      </c>
      <c r="N31"/>
    </row>
    <row r="32" spans="1:14">
      <c r="B32">
        <v>1</v>
      </c>
      <c r="C32" s="399">
        <v>3754250000</v>
      </c>
      <c r="D32" s="399">
        <v>17</v>
      </c>
      <c r="E32" s="399">
        <v>16462</v>
      </c>
      <c r="F32" s="399">
        <v>1234685000</v>
      </c>
      <c r="G32" s="399">
        <v>1275000</v>
      </c>
      <c r="H32"/>
      <c r="I32" s="411"/>
      <c r="J32" s="415">
        <f>$G32/(C32/1000)</f>
        <v>0.3396151028833988</v>
      </c>
      <c r="K32" s="416">
        <f t="shared" ref="K32:K41" si="0">$G32/D32</f>
        <v>75000</v>
      </c>
      <c r="L32" s="416">
        <f t="shared" ref="L32:L41" si="1">$G32/E32</f>
        <v>77.451099501883121</v>
      </c>
      <c r="M32" s="417">
        <f t="shared" ref="M32:M41" si="2">$G32/(F32/100)</f>
        <v>0.10326520529527775</v>
      </c>
      <c r="N32"/>
    </row>
    <row r="33" spans="2:14">
      <c r="B33">
        <v>2</v>
      </c>
      <c r="C33" s="399">
        <v>5631375000</v>
      </c>
      <c r="D33" s="399" t="s">
        <v>8</v>
      </c>
      <c r="E33" s="399">
        <v>31734</v>
      </c>
      <c r="F33" s="399">
        <v>2469370000</v>
      </c>
      <c r="G33" s="399">
        <v>2550000</v>
      </c>
      <c r="H33"/>
      <c r="I33" s="411"/>
      <c r="J33" s="415">
        <f t="shared" ref="J33:J41" si="3">$G33/(C33/1000)</f>
        <v>0.45282013717786507</v>
      </c>
      <c r="K33" s="416" t="s">
        <v>8</v>
      </c>
      <c r="L33" s="416">
        <f t="shared" si="1"/>
        <v>80.355454717337878</v>
      </c>
      <c r="M33" s="417">
        <f t="shared" si="2"/>
        <v>0.10326520529527775</v>
      </c>
      <c r="N33"/>
    </row>
    <row r="34" spans="2:14">
      <c r="B34">
        <v>3</v>
      </c>
      <c r="C34" s="399">
        <v>1242215070</v>
      </c>
      <c r="D34" s="399">
        <v>10</v>
      </c>
      <c r="E34" s="399">
        <v>9146</v>
      </c>
      <c r="F34" s="399">
        <v>726285294</v>
      </c>
      <c r="G34" s="399">
        <v>750000</v>
      </c>
      <c r="H34"/>
      <c r="I34" s="411"/>
      <c r="J34" s="415">
        <f t="shared" si="3"/>
        <v>0.60376018461923819</v>
      </c>
      <c r="K34" s="416">
        <f t="shared" si="0"/>
        <v>75000</v>
      </c>
      <c r="L34" s="416">
        <f t="shared" si="1"/>
        <v>82.003061447627374</v>
      </c>
      <c r="M34" s="417">
        <f t="shared" si="2"/>
        <v>0.10326520531200511</v>
      </c>
      <c r="N34"/>
    </row>
    <row r="35" spans="2:14">
      <c r="B35">
        <v>4</v>
      </c>
      <c r="C35" s="399">
        <v>4378808120</v>
      </c>
      <c r="D35" s="399">
        <v>47</v>
      </c>
      <c r="E35" s="399">
        <v>43519</v>
      </c>
      <c r="F35" s="399">
        <v>3413540882</v>
      </c>
      <c r="G35" s="399">
        <v>3525000</v>
      </c>
      <c r="H35"/>
      <c r="I35" s="411"/>
      <c r="J35" s="415">
        <f t="shared" si="3"/>
        <v>0.80501357981404309</v>
      </c>
      <c r="K35" s="416">
        <f t="shared" si="0"/>
        <v>75000</v>
      </c>
      <c r="L35" s="416">
        <f t="shared" si="1"/>
        <v>80.999103839702201</v>
      </c>
      <c r="M35" s="417">
        <f t="shared" si="2"/>
        <v>0.10326520530595479</v>
      </c>
      <c r="N35"/>
    </row>
    <row r="36" spans="2:14">
      <c r="B36">
        <v>5</v>
      </c>
      <c r="C36" s="399">
        <v>838495170</v>
      </c>
      <c r="D36" s="399">
        <v>12</v>
      </c>
      <c r="E36" s="399">
        <v>11842</v>
      </c>
      <c r="F36" s="399">
        <v>871542353</v>
      </c>
      <c r="G36" s="399">
        <v>900000</v>
      </c>
      <c r="H36"/>
      <c r="I36" s="411"/>
      <c r="J36" s="415">
        <f t="shared" si="3"/>
        <v>1.0733514422032986</v>
      </c>
      <c r="K36" s="416">
        <f t="shared" si="0"/>
        <v>75000</v>
      </c>
      <c r="L36" s="416">
        <f t="shared" si="1"/>
        <v>76.000675561560541</v>
      </c>
      <c r="M36" s="417">
        <f t="shared" si="2"/>
        <v>0.10326520528830802</v>
      </c>
      <c r="N36"/>
    </row>
    <row r="37" spans="2:14">
      <c r="B37">
        <v>6</v>
      </c>
      <c r="C37" s="399">
        <v>946800800</v>
      </c>
      <c r="D37" s="399" t="s">
        <v>8</v>
      </c>
      <c r="E37" s="399">
        <v>14321</v>
      </c>
      <c r="F37" s="399">
        <v>1312155431</v>
      </c>
      <c r="G37" s="399">
        <v>1355000</v>
      </c>
      <c r="H37"/>
      <c r="I37" s="411"/>
      <c r="J37" s="415">
        <f t="shared" si="3"/>
        <v>1.4311352504138146</v>
      </c>
      <c r="K37" s="416" t="s">
        <v>8</v>
      </c>
      <c r="L37" s="416">
        <f t="shared" si="1"/>
        <v>94.616297744570915</v>
      </c>
      <c r="M37" s="417">
        <f t="shared" si="2"/>
        <v>0.10326520532459695</v>
      </c>
      <c r="N37"/>
    </row>
    <row r="38" spans="2:14">
      <c r="B38">
        <v>7</v>
      </c>
      <c r="C38" s="399">
        <v>982611530</v>
      </c>
      <c r="D38" s="399">
        <v>25</v>
      </c>
      <c r="E38" s="399">
        <v>24038</v>
      </c>
      <c r="F38" s="399">
        <v>1815713235</v>
      </c>
      <c r="G38" s="399">
        <v>1875000</v>
      </c>
      <c r="H38"/>
      <c r="I38" s="411"/>
      <c r="J38" s="415">
        <f t="shared" si="3"/>
        <v>1.908180336536454</v>
      </c>
      <c r="K38" s="416">
        <f t="shared" si="0"/>
        <v>75000</v>
      </c>
      <c r="L38" s="416">
        <f t="shared" si="1"/>
        <v>78.001497628754478</v>
      </c>
      <c r="M38" s="417">
        <f t="shared" si="2"/>
        <v>0.10326520531200511</v>
      </c>
      <c r="N38"/>
    </row>
    <row r="39" spans="2:14">
      <c r="B39">
        <v>8</v>
      </c>
      <c r="C39" s="399">
        <v>913828720</v>
      </c>
      <c r="D39" s="399">
        <v>31</v>
      </c>
      <c r="E39" s="399">
        <v>33604</v>
      </c>
      <c r="F39" s="399">
        <v>2251484412</v>
      </c>
      <c r="G39" s="399">
        <v>2325000</v>
      </c>
      <c r="H39"/>
      <c r="I39" s="411"/>
      <c r="J39" s="415">
        <f t="shared" si="3"/>
        <v>2.5442404567893204</v>
      </c>
      <c r="K39" s="416">
        <f t="shared" si="0"/>
        <v>75000</v>
      </c>
      <c r="L39" s="416">
        <f t="shared" si="1"/>
        <v>69.188191881918826</v>
      </c>
      <c r="M39" s="417">
        <f t="shared" si="2"/>
        <v>0.10326520528448588</v>
      </c>
      <c r="N39"/>
    </row>
    <row r="40" spans="2:14">
      <c r="B40">
        <v>9</v>
      </c>
      <c r="C40" s="399">
        <v>1370743080</v>
      </c>
      <c r="D40" s="399">
        <v>62</v>
      </c>
      <c r="E40" s="399">
        <v>56024</v>
      </c>
      <c r="F40" s="399">
        <v>4502968824</v>
      </c>
      <c r="G40" s="399">
        <v>4650000</v>
      </c>
      <c r="H40"/>
      <c r="I40" s="411"/>
      <c r="J40" s="415">
        <f t="shared" si="3"/>
        <v>3.3923206090524269</v>
      </c>
      <c r="K40" s="416">
        <f t="shared" si="0"/>
        <v>75000</v>
      </c>
      <c r="L40" s="416">
        <f t="shared" si="1"/>
        <v>83.000142795944598</v>
      </c>
      <c r="M40" s="417">
        <f t="shared" si="2"/>
        <v>0.10326520528448588</v>
      </c>
      <c r="N40"/>
    </row>
    <row r="41" spans="2:14">
      <c r="B41">
        <v>10</v>
      </c>
      <c r="C41" s="399">
        <v>215560400</v>
      </c>
      <c r="D41" s="399">
        <v>13</v>
      </c>
      <c r="E41" s="399">
        <v>12500</v>
      </c>
      <c r="F41" s="399">
        <v>944170882</v>
      </c>
      <c r="G41" s="399">
        <v>975000</v>
      </c>
      <c r="H41"/>
      <c r="I41" s="411"/>
      <c r="J41" s="415">
        <f t="shared" si="3"/>
        <v>4.5230942232432305</v>
      </c>
      <c r="K41" s="416">
        <f t="shared" si="0"/>
        <v>75000</v>
      </c>
      <c r="L41" s="416">
        <f t="shared" si="1"/>
        <v>78</v>
      </c>
      <c r="M41" s="417">
        <f t="shared" si="2"/>
        <v>0.10326520533387938</v>
      </c>
      <c r="N41"/>
    </row>
    <row r="42" spans="2:14">
      <c r="B42"/>
      <c r="C42"/>
      <c r="D42"/>
      <c r="E42"/>
      <c r="F42"/>
      <c r="G42"/>
      <c r="H42"/>
      <c r="I42"/>
      <c r="K42" s="411"/>
      <c r="L42" s="411"/>
      <c r="M42" s="411"/>
      <c r="N42"/>
    </row>
    <row r="43" spans="2:14">
      <c r="B43"/>
      <c r="C43"/>
      <c r="D43"/>
      <c r="E43"/>
      <c r="F43"/>
      <c r="G43"/>
      <c r="H43"/>
      <c r="I43"/>
      <c r="J43" s="411"/>
      <c r="L43" s="411"/>
      <c r="M43" s="411"/>
      <c r="N43"/>
    </row>
    <row r="44" spans="2:14">
      <c r="B44" t="s">
        <v>3</v>
      </c>
      <c r="C44"/>
      <c r="D44" s="411" t="s">
        <v>145</v>
      </c>
      <c r="E44"/>
      <c r="F44"/>
      <c r="G44"/>
      <c r="H44"/>
      <c r="I44"/>
      <c r="J44" s="411"/>
      <c r="K44" s="411"/>
      <c r="M44" s="411"/>
      <c r="N44"/>
    </row>
    <row r="45" spans="2:14">
      <c r="B45"/>
      <c r="C45"/>
      <c r="D45"/>
      <c r="E45"/>
      <c r="F45"/>
      <c r="G45"/>
      <c r="H45"/>
      <c r="I45"/>
      <c r="J45" s="411"/>
      <c r="K45" s="411"/>
      <c r="L45" s="411"/>
      <c r="N45"/>
    </row>
    <row r="46" spans="2:14">
      <c r="B46" s="1" t="s">
        <v>4</v>
      </c>
      <c r="D46" s="411" t="s">
        <v>146</v>
      </c>
    </row>
    <row r="48" spans="2:14">
      <c r="B48" s="1" t="s">
        <v>5</v>
      </c>
      <c r="D48" s="411" t="s">
        <v>145</v>
      </c>
    </row>
    <row r="50" spans="2:4">
      <c r="B50" s="1" t="s">
        <v>6</v>
      </c>
      <c r="D50" s="411" t="s">
        <v>147</v>
      </c>
    </row>
  </sheetData>
  <mergeCells count="1">
    <mergeCell ref="J30:M30"/>
  </mergeCells>
  <conditionalFormatting sqref="A28:A29 K42:M42 J43 L43:M43 D44 J44:K44 M44 J45:L45 D46 D48 D50">
    <cfRule type="expression" dxfId="38" priority="3">
      <formula>CELL("protect",A28)=1</formula>
    </cfRule>
  </conditionalFormatting>
  <conditionalFormatting sqref="I31 I32:M41">
    <cfRule type="expression" dxfId="37" priority="2">
      <formula>CELL("protect",I31)=1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2E1B1-01C9-4914-9A79-183E2F9BB00A}">
  <dimension ref="A1:AA391"/>
  <sheetViews>
    <sheetView zoomScale="90" zoomScaleNormal="90" workbookViewId="0"/>
  </sheetViews>
  <sheetFormatPr defaultColWidth="9.26953125" defaultRowHeight="15" customHeight="1"/>
  <cols>
    <col min="1" max="1" width="9.81640625" style="136" customWidth="1"/>
    <col min="2" max="2" width="23.26953125" style="136" customWidth="1"/>
    <col min="3" max="3" width="33.26953125" style="136" customWidth="1"/>
    <col min="4" max="4" width="15.7265625" style="136" bestFit="1" customWidth="1"/>
    <col min="5" max="5" width="11.26953125" style="136" bestFit="1" customWidth="1"/>
    <col min="6" max="6" width="11" style="136" bestFit="1" customWidth="1"/>
    <col min="7" max="7" width="13.7265625" style="136" bestFit="1" customWidth="1"/>
    <col min="8" max="8" width="7.26953125" style="136" bestFit="1" customWidth="1"/>
    <col min="9" max="9" width="6.453125" style="136" bestFit="1" customWidth="1"/>
    <col min="10" max="10" width="12.7265625" style="136" bestFit="1" customWidth="1"/>
    <col min="11" max="11" width="13.453125" style="136" bestFit="1" customWidth="1"/>
    <col min="12" max="12" width="29.26953125" style="136" bestFit="1" customWidth="1"/>
    <col min="13" max="13" width="20.26953125" style="136" bestFit="1" customWidth="1"/>
    <col min="14" max="14" width="17.26953125" style="136" bestFit="1" customWidth="1"/>
    <col min="15" max="15" width="90.7265625" style="136" bestFit="1" customWidth="1"/>
    <col min="16" max="16" width="9.26953125" style="136"/>
    <col min="17" max="18" width="8.26953125" style="136" bestFit="1" customWidth="1"/>
    <col min="19" max="19" width="10.7265625" style="136" customWidth="1"/>
    <col min="20" max="20" width="12.7265625" style="136" bestFit="1" customWidth="1"/>
    <col min="21" max="22" width="9.26953125" style="136"/>
    <col min="23" max="27" width="9.26953125" style="187"/>
    <col min="28" max="16384" width="9.26953125" style="136"/>
  </cols>
  <sheetData>
    <row r="1" spans="1:27">
      <c r="A1" s="135" t="s">
        <v>132</v>
      </c>
      <c r="B1" s="136" t="s">
        <v>14</v>
      </c>
      <c r="W1" s="136"/>
      <c r="X1" s="136"/>
      <c r="Y1" s="136"/>
      <c r="Z1" s="136"/>
      <c r="AA1" s="136"/>
    </row>
    <row r="2" spans="1:27">
      <c r="A2" s="135" t="s">
        <v>133</v>
      </c>
      <c r="B2" s="136" t="s">
        <v>148</v>
      </c>
      <c r="W2" s="136"/>
      <c r="X2" s="136"/>
      <c r="Y2" s="136"/>
      <c r="Z2" s="136"/>
      <c r="AA2" s="136"/>
    </row>
    <row r="3" spans="1:27">
      <c r="A3" s="135" t="s">
        <v>135</v>
      </c>
      <c r="B3" s="136" t="s">
        <v>136</v>
      </c>
      <c r="W3" s="136"/>
      <c r="X3" s="136"/>
      <c r="Y3" s="136"/>
      <c r="Z3" s="136"/>
      <c r="AA3" s="136"/>
    </row>
    <row r="4" spans="1:27">
      <c r="A4" s="135" t="s">
        <v>137</v>
      </c>
      <c r="B4" s="136" t="s">
        <v>149</v>
      </c>
      <c r="W4" s="136"/>
      <c r="X4" s="136"/>
      <c r="Y4" s="136"/>
      <c r="Z4" s="136"/>
      <c r="AA4" s="136"/>
    </row>
    <row r="5" spans="1:27">
      <c r="A5" s="135" t="s">
        <v>139</v>
      </c>
      <c r="B5" s="136" t="s">
        <v>150</v>
      </c>
      <c r="W5" s="136"/>
      <c r="X5" s="136"/>
      <c r="Y5" s="136"/>
      <c r="Z5" s="136"/>
      <c r="AA5" s="136"/>
    </row>
    <row r="7" spans="1:27">
      <c r="A7" s="146"/>
      <c r="B7" s="139" t="s">
        <v>76</v>
      </c>
      <c r="C7" s="147"/>
      <c r="D7" s="147"/>
      <c r="E7" s="147"/>
      <c r="F7" s="147"/>
      <c r="G7" s="147"/>
      <c r="H7" s="147"/>
      <c r="I7" s="147"/>
      <c r="J7" s="147"/>
      <c r="K7" s="142"/>
      <c r="L7" s="142"/>
      <c r="M7" s="142"/>
      <c r="N7" s="142"/>
      <c r="O7" s="142"/>
      <c r="W7" s="136"/>
      <c r="X7" s="136"/>
      <c r="Y7" s="136"/>
      <c r="Z7" s="136"/>
      <c r="AA7" s="136"/>
    </row>
    <row r="8" spans="1:27">
      <c r="A8" s="146"/>
      <c r="B8" s="142"/>
      <c r="C8" s="142"/>
      <c r="D8" s="142"/>
      <c r="E8" s="142"/>
      <c r="F8" s="142"/>
      <c r="G8" s="142"/>
      <c r="H8" s="149"/>
      <c r="I8" s="149"/>
      <c r="J8" s="142"/>
      <c r="K8" s="142"/>
      <c r="L8" s="142"/>
      <c r="M8" s="142"/>
      <c r="N8" s="142"/>
      <c r="O8" s="142"/>
      <c r="W8" s="136"/>
      <c r="X8" s="136"/>
      <c r="Y8" s="136"/>
      <c r="Z8" s="136"/>
      <c r="AA8" s="136"/>
    </row>
    <row r="9" spans="1:27">
      <c r="B9" s="152"/>
      <c r="C9" s="152">
        <v>2017</v>
      </c>
      <c r="D9" s="152">
        <v>2018</v>
      </c>
      <c r="E9" s="152">
        <v>2019</v>
      </c>
      <c r="F9" s="152" t="s">
        <v>18</v>
      </c>
      <c r="O9" s="142"/>
      <c r="W9" s="136"/>
      <c r="X9" s="136"/>
      <c r="Y9" s="136"/>
      <c r="Z9" s="136"/>
      <c r="AA9" s="136"/>
    </row>
    <row r="10" spans="1:27">
      <c r="A10" s="146"/>
      <c r="B10" s="153" t="s">
        <v>20</v>
      </c>
      <c r="C10" s="153" t="s">
        <v>21</v>
      </c>
      <c r="D10" s="153" t="s">
        <v>21</v>
      </c>
      <c r="E10" s="153" t="s">
        <v>21</v>
      </c>
      <c r="F10" s="153" t="s">
        <v>22</v>
      </c>
      <c r="H10" s="149"/>
      <c r="I10" s="149"/>
      <c r="J10" s="142"/>
      <c r="K10" s="142"/>
      <c r="L10" s="142"/>
      <c r="M10" s="142"/>
      <c r="N10" s="142"/>
      <c r="O10" s="142"/>
      <c r="W10" s="136"/>
      <c r="X10" s="136"/>
      <c r="Y10" s="136"/>
      <c r="Z10" s="136"/>
      <c r="AA10" s="136"/>
    </row>
    <row r="11" spans="1:27">
      <c r="A11" s="146"/>
      <c r="B11" s="157" t="s">
        <v>24</v>
      </c>
      <c r="C11" s="158">
        <v>50000</v>
      </c>
      <c r="D11" s="158">
        <v>55000</v>
      </c>
      <c r="E11" s="158">
        <v>60500</v>
      </c>
      <c r="F11" s="159"/>
      <c r="H11" s="160"/>
      <c r="I11" s="160"/>
      <c r="J11" s="142"/>
      <c r="K11" s="142"/>
      <c r="L11" s="142"/>
      <c r="M11" s="142"/>
      <c r="N11" s="142"/>
      <c r="O11" s="161"/>
      <c r="W11" s="136"/>
      <c r="X11" s="136"/>
      <c r="Y11" s="136"/>
      <c r="Z11" s="136"/>
      <c r="AA11" s="136"/>
    </row>
    <row r="12" spans="1:27">
      <c r="A12" s="146"/>
      <c r="B12" s="157" t="s">
        <v>25</v>
      </c>
      <c r="C12" s="158">
        <v>50000</v>
      </c>
      <c r="D12" s="158">
        <v>52500</v>
      </c>
      <c r="E12" s="158">
        <v>57500</v>
      </c>
      <c r="F12" s="164"/>
      <c r="H12" s="165"/>
      <c r="I12" s="165"/>
      <c r="J12" s="166"/>
      <c r="K12" s="166"/>
      <c r="L12" s="161"/>
      <c r="M12" s="161"/>
      <c r="N12" s="161"/>
      <c r="O12" s="161"/>
      <c r="W12" s="136"/>
      <c r="X12" s="136"/>
      <c r="Y12" s="136"/>
      <c r="Z12" s="136"/>
      <c r="AA12" s="136"/>
    </row>
    <row r="13" spans="1:27">
      <c r="A13" s="146"/>
      <c r="B13" s="157" t="s">
        <v>27</v>
      </c>
      <c r="C13" s="158">
        <v>2500</v>
      </c>
      <c r="D13" s="158">
        <v>2520</v>
      </c>
      <c r="E13" s="158">
        <v>2645</v>
      </c>
      <c r="F13" s="169">
        <v>0.75</v>
      </c>
      <c r="H13" s="165"/>
      <c r="I13" s="165"/>
      <c r="J13" s="170"/>
      <c r="K13" s="170"/>
      <c r="L13" s="161"/>
      <c r="M13" s="161"/>
      <c r="N13" s="161"/>
      <c r="O13" s="161"/>
      <c r="W13" s="136"/>
      <c r="X13" s="136"/>
      <c r="Y13" s="136"/>
      <c r="Z13" s="136"/>
      <c r="AA13" s="136"/>
    </row>
    <row r="14" spans="1:27">
      <c r="A14" s="146"/>
      <c r="B14" s="157" t="s">
        <v>28</v>
      </c>
      <c r="C14" s="158">
        <v>2000</v>
      </c>
      <c r="D14" s="158">
        <v>2145</v>
      </c>
      <c r="E14" s="158">
        <v>2480</v>
      </c>
      <c r="F14" s="169">
        <v>0</v>
      </c>
      <c r="H14" s="165"/>
      <c r="I14" s="165"/>
      <c r="J14" s="170"/>
      <c r="K14" s="170"/>
      <c r="L14" s="161"/>
      <c r="M14" s="161"/>
      <c r="N14" s="161"/>
      <c r="O14" s="161"/>
      <c r="W14" s="136"/>
      <c r="X14" s="136"/>
      <c r="Y14" s="136"/>
      <c r="Z14" s="136"/>
      <c r="AA14" s="136"/>
    </row>
    <row r="15" spans="1:27">
      <c r="A15" s="146"/>
      <c r="B15" s="172" t="s">
        <v>151</v>
      </c>
      <c r="C15" s="172">
        <v>750</v>
      </c>
      <c r="D15" s="172">
        <v>830</v>
      </c>
      <c r="E15" s="172">
        <v>901</v>
      </c>
      <c r="F15" s="169">
        <v>0</v>
      </c>
      <c r="H15" s="165"/>
      <c r="I15" s="165"/>
      <c r="J15" s="170"/>
      <c r="K15" s="170"/>
      <c r="L15" s="161"/>
      <c r="M15" s="161"/>
      <c r="N15" s="161"/>
      <c r="O15" s="142"/>
      <c r="W15" s="136"/>
      <c r="X15" s="136"/>
      <c r="Y15" s="136"/>
      <c r="Z15" s="136"/>
      <c r="AA15" s="136"/>
    </row>
    <row r="16" spans="1:27">
      <c r="A16" s="146"/>
      <c r="B16" s="172" t="s">
        <v>30</v>
      </c>
      <c r="C16" s="173">
        <v>7500</v>
      </c>
      <c r="D16" s="173">
        <v>8140</v>
      </c>
      <c r="E16" s="173">
        <v>9196</v>
      </c>
      <c r="F16" s="169">
        <v>0</v>
      </c>
      <c r="H16" s="170"/>
      <c r="I16" s="170"/>
      <c r="J16" s="142"/>
      <c r="K16" s="142"/>
      <c r="L16" s="142"/>
      <c r="M16" s="142"/>
      <c r="N16" s="142"/>
      <c r="O16" s="142"/>
      <c r="W16" s="136"/>
      <c r="X16" s="136"/>
      <c r="Y16" s="136"/>
      <c r="Z16" s="136"/>
      <c r="AA16" s="136"/>
    </row>
    <row r="17" spans="1:27">
      <c r="A17" s="146"/>
      <c r="B17" s="175"/>
      <c r="C17" s="149"/>
      <c r="D17" s="170"/>
      <c r="E17" s="170"/>
      <c r="F17" s="170"/>
      <c r="G17" s="142"/>
      <c r="H17" s="142"/>
      <c r="I17" s="142"/>
      <c r="J17" s="142"/>
      <c r="K17" s="142"/>
      <c r="L17" s="142"/>
      <c r="M17" s="142"/>
      <c r="N17" s="142"/>
      <c r="O17" s="142"/>
      <c r="W17" s="136"/>
      <c r="X17" s="136"/>
      <c r="Y17" s="136"/>
      <c r="Z17" s="136"/>
      <c r="AA17" s="136"/>
    </row>
    <row r="18" spans="1:27">
      <c r="A18" s="146"/>
      <c r="B18" s="139" t="s">
        <v>152</v>
      </c>
      <c r="C18" s="165"/>
      <c r="D18" s="165"/>
      <c r="E18" s="165"/>
      <c r="F18" s="165"/>
      <c r="G18" s="170"/>
      <c r="H18" s="170"/>
      <c r="I18" s="170"/>
      <c r="J18" s="142"/>
      <c r="K18" s="142"/>
      <c r="L18" s="142"/>
      <c r="M18" s="142"/>
      <c r="N18" s="142"/>
      <c r="O18" s="142"/>
      <c r="W18" s="136"/>
      <c r="X18" s="136"/>
      <c r="Y18" s="136"/>
      <c r="Z18" s="136"/>
      <c r="AA18" s="136"/>
    </row>
    <row r="19" spans="1:27">
      <c r="A19" s="146"/>
      <c r="B19" s="139"/>
      <c r="C19" s="180"/>
      <c r="D19" s="180"/>
      <c r="E19" s="180"/>
      <c r="F19" s="165"/>
      <c r="G19" s="170"/>
      <c r="H19" s="170"/>
      <c r="I19" s="170"/>
      <c r="J19" s="142"/>
      <c r="K19" s="142"/>
      <c r="L19" s="142"/>
      <c r="M19" s="142"/>
      <c r="N19" s="142"/>
      <c r="O19" s="142"/>
      <c r="W19" s="136"/>
      <c r="X19" s="136"/>
      <c r="Y19" s="136"/>
      <c r="Z19" s="136"/>
      <c r="AA19" s="136"/>
    </row>
    <row r="20" spans="1:27">
      <c r="A20" s="146"/>
      <c r="B20" s="139" t="s">
        <v>153</v>
      </c>
      <c r="C20" s="180"/>
      <c r="D20" s="180"/>
      <c r="E20" s="180"/>
      <c r="F20" s="180"/>
      <c r="G20" s="170"/>
      <c r="H20" s="170"/>
      <c r="I20" s="170"/>
      <c r="J20" s="142"/>
      <c r="K20" s="142"/>
      <c r="L20" s="142"/>
      <c r="M20" s="142"/>
      <c r="N20" s="142"/>
      <c r="O20" s="142"/>
      <c r="W20" s="136"/>
      <c r="X20" s="136"/>
      <c r="Y20" s="136"/>
      <c r="Z20" s="136"/>
      <c r="AA20" s="136"/>
    </row>
    <row r="21" spans="1:27">
      <c r="A21" s="161"/>
      <c r="B21" s="136" t="s">
        <v>154</v>
      </c>
      <c r="G21" s="170"/>
      <c r="H21" s="170"/>
      <c r="I21" s="170"/>
      <c r="J21" s="142"/>
      <c r="K21" s="142"/>
      <c r="L21" s="142"/>
      <c r="M21" s="142"/>
      <c r="N21" s="142"/>
      <c r="O21" s="142"/>
      <c r="W21" s="136"/>
      <c r="X21" s="136"/>
      <c r="Y21" s="136"/>
      <c r="Z21" s="136"/>
      <c r="AA21" s="136"/>
    </row>
    <row r="22" spans="1:27">
      <c r="A22" s="161" t="s">
        <v>155</v>
      </c>
      <c r="B22" s="144" t="s">
        <v>156</v>
      </c>
      <c r="O22" s="142"/>
      <c r="W22" s="136"/>
      <c r="X22" s="136"/>
      <c r="Y22" s="136"/>
      <c r="Z22" s="136"/>
      <c r="AA22" s="136"/>
    </row>
    <row r="23" spans="1:27">
      <c r="A23" s="161"/>
      <c r="C23" s="136" t="s">
        <v>27</v>
      </c>
      <c r="O23" s="142"/>
      <c r="W23" s="136"/>
      <c r="X23" s="136"/>
      <c r="Y23" s="136"/>
      <c r="Z23" s="136"/>
      <c r="AA23" s="136"/>
    </row>
    <row r="24" spans="1:27">
      <c r="A24" s="161"/>
      <c r="C24" s="148"/>
      <c r="D24" s="148">
        <v>2017</v>
      </c>
      <c r="E24" s="148">
        <v>2018</v>
      </c>
      <c r="F24" s="148">
        <v>2019</v>
      </c>
      <c r="G24" s="136" t="s">
        <v>157</v>
      </c>
      <c r="O24" s="142"/>
      <c r="W24" s="136"/>
      <c r="X24" s="136"/>
      <c r="Y24" s="136"/>
      <c r="Z24" s="136"/>
      <c r="AA24" s="136"/>
    </row>
    <row r="25" spans="1:27">
      <c r="A25" s="146"/>
      <c r="B25" s="135"/>
      <c r="C25" s="150" t="s">
        <v>25</v>
      </c>
      <c r="D25" s="151">
        <v>50000</v>
      </c>
      <c r="E25" s="151">
        <v>52500</v>
      </c>
      <c r="F25" s="151">
        <v>57500</v>
      </c>
      <c r="O25" s="142"/>
      <c r="W25" s="136"/>
      <c r="X25" s="136"/>
      <c r="Y25" s="136"/>
      <c r="Z25" s="136"/>
      <c r="AA25" s="136"/>
    </row>
    <row r="26" spans="1:27">
      <c r="A26" s="161"/>
      <c r="B26" s="135"/>
      <c r="C26" s="150" t="s">
        <v>27</v>
      </c>
      <c r="D26" s="151">
        <v>2500</v>
      </c>
      <c r="E26" s="151">
        <v>2520</v>
      </c>
      <c r="F26" s="151">
        <v>2645</v>
      </c>
      <c r="O26" s="142"/>
      <c r="W26" s="136"/>
      <c r="X26" s="136"/>
      <c r="Y26" s="136"/>
      <c r="Z26" s="136"/>
      <c r="AA26" s="136"/>
    </row>
    <row r="27" spans="1:27">
      <c r="A27" s="161"/>
      <c r="B27" s="135"/>
      <c r="C27" s="154" t="s">
        <v>158</v>
      </c>
      <c r="D27" s="155">
        <f>D26/D25</f>
        <v>0.05</v>
      </c>
      <c r="E27" s="155">
        <f t="shared" ref="E27:F27" si="0">E26/E25</f>
        <v>4.8000000000000001E-2</v>
      </c>
      <c r="F27" s="155">
        <f t="shared" si="0"/>
        <v>4.5999999999999999E-2</v>
      </c>
      <c r="G27" s="156">
        <f>F27</f>
        <v>4.5999999999999999E-2</v>
      </c>
      <c r="O27" s="142"/>
      <c r="W27" s="136"/>
      <c r="X27" s="136"/>
      <c r="Y27" s="136"/>
      <c r="Z27" s="136"/>
      <c r="AA27" s="136"/>
    </row>
    <row r="28" spans="1:27">
      <c r="A28" s="161"/>
      <c r="B28" s="135"/>
      <c r="C28" s="162" t="s">
        <v>159</v>
      </c>
      <c r="D28" s="162"/>
      <c r="E28" s="162"/>
      <c r="G28" s="163">
        <v>0.75</v>
      </c>
      <c r="J28" s="266"/>
      <c r="O28" s="142"/>
      <c r="W28" s="136"/>
      <c r="X28" s="136"/>
      <c r="Y28" s="136"/>
      <c r="Z28" s="136"/>
      <c r="AA28" s="136"/>
    </row>
    <row r="29" spans="1:27">
      <c r="A29" s="146"/>
      <c r="B29" s="135"/>
      <c r="C29" s="162" t="s">
        <v>160</v>
      </c>
      <c r="D29" s="162" t="s">
        <v>161</v>
      </c>
      <c r="E29" s="167"/>
      <c r="G29" s="168">
        <f>G27*G28</f>
        <v>3.4500000000000003E-2</v>
      </c>
      <c r="J29" s="266"/>
      <c r="O29" s="142"/>
      <c r="W29" s="136"/>
      <c r="X29" s="136"/>
      <c r="Y29" s="136"/>
      <c r="Z29" s="136"/>
      <c r="AA29" s="136"/>
    </row>
    <row r="30" spans="1:27">
      <c r="B30" s="135"/>
      <c r="C30" s="162" t="s">
        <v>162</v>
      </c>
      <c r="D30" s="171" t="s">
        <v>163</v>
      </c>
      <c r="E30" s="167"/>
      <c r="G30" s="168">
        <f>G27-G29</f>
        <v>1.1499999999999996E-2</v>
      </c>
      <c r="O30" s="142"/>
      <c r="W30" s="136"/>
      <c r="X30" s="136"/>
      <c r="Y30" s="136"/>
      <c r="Z30" s="136"/>
      <c r="AA30" s="136"/>
    </row>
    <row r="31" spans="1:27">
      <c r="A31" s="161"/>
      <c r="B31" s="162"/>
      <c r="C31" s="167"/>
      <c r="D31" s="171"/>
      <c r="E31" s="167"/>
      <c r="O31" s="142"/>
      <c r="W31" s="136"/>
      <c r="X31" s="136"/>
      <c r="Y31" s="136"/>
      <c r="Z31" s="136"/>
      <c r="AA31" s="136"/>
    </row>
    <row r="32" spans="1:27">
      <c r="A32" s="161"/>
      <c r="C32" s="136" t="s">
        <v>28</v>
      </c>
      <c r="O32" s="142"/>
      <c r="W32" s="136"/>
      <c r="X32" s="136"/>
      <c r="Y32" s="136"/>
      <c r="Z32" s="136"/>
      <c r="AA32" s="136"/>
    </row>
    <row r="33" spans="1:27">
      <c r="A33" s="161"/>
      <c r="C33" s="172"/>
      <c r="D33" s="174">
        <v>2017</v>
      </c>
      <c r="E33" s="174">
        <v>2018</v>
      </c>
      <c r="F33" s="174">
        <v>2019</v>
      </c>
      <c r="G33" s="135" t="s">
        <v>157</v>
      </c>
      <c r="O33" s="142"/>
      <c r="W33" s="136"/>
      <c r="X33" s="136"/>
      <c r="Y33" s="136"/>
      <c r="Z33" s="136"/>
      <c r="AA33" s="136"/>
    </row>
    <row r="34" spans="1:27">
      <c r="B34" s="135"/>
      <c r="C34" s="150" t="s">
        <v>24</v>
      </c>
      <c r="D34" s="164">
        <v>50000</v>
      </c>
      <c r="E34" s="164">
        <v>55000</v>
      </c>
      <c r="F34" s="164">
        <v>60500</v>
      </c>
      <c r="G34" s="135"/>
      <c r="O34" s="142"/>
      <c r="W34" s="136"/>
      <c r="X34" s="136"/>
      <c r="Y34" s="136"/>
      <c r="Z34" s="136"/>
      <c r="AA34" s="136"/>
    </row>
    <row r="35" spans="1:27">
      <c r="B35" s="176"/>
      <c r="C35" s="150" t="s">
        <v>28</v>
      </c>
      <c r="D35" s="164">
        <v>2000</v>
      </c>
      <c r="E35" s="164">
        <v>2145</v>
      </c>
      <c r="F35" s="164">
        <v>2480</v>
      </c>
      <c r="G35" s="135"/>
      <c r="O35" s="142"/>
      <c r="W35" s="136"/>
      <c r="X35" s="136"/>
      <c r="Y35" s="136"/>
      <c r="Z35" s="136"/>
      <c r="AA35" s="136"/>
    </row>
    <row r="36" spans="1:27">
      <c r="B36" s="162"/>
      <c r="C36" s="162" t="s">
        <v>164</v>
      </c>
      <c r="D36" s="177">
        <f>D35/D34</f>
        <v>0.04</v>
      </c>
      <c r="E36" s="177">
        <f t="shared" ref="E36:F36" si="1">E35/E34</f>
        <v>3.9E-2</v>
      </c>
      <c r="F36" s="177">
        <f t="shared" si="1"/>
        <v>4.0991735537190085E-2</v>
      </c>
      <c r="G36" s="178">
        <f>AVERAGE(D36:F36)</f>
        <v>3.9997245179063362E-2</v>
      </c>
      <c r="O36" s="142"/>
      <c r="W36" s="136"/>
      <c r="X36" s="136"/>
      <c r="Y36" s="136"/>
      <c r="Z36" s="136"/>
      <c r="AA36" s="136"/>
    </row>
    <row r="37" spans="1:27">
      <c r="B37" s="162"/>
      <c r="C37" s="162"/>
      <c r="D37" s="179"/>
      <c r="E37" s="179"/>
      <c r="O37" s="142"/>
      <c r="W37" s="136"/>
      <c r="X37" s="136"/>
      <c r="Y37" s="136"/>
      <c r="Z37" s="136"/>
      <c r="AA37" s="136"/>
    </row>
    <row r="38" spans="1:27">
      <c r="C38" s="136" t="s">
        <v>151</v>
      </c>
      <c r="O38" s="142"/>
      <c r="W38" s="136"/>
      <c r="X38" s="136"/>
      <c r="Y38" s="136"/>
      <c r="Z38" s="136"/>
      <c r="AA38" s="136"/>
    </row>
    <row r="39" spans="1:27">
      <c r="C39" s="172"/>
      <c r="D39" s="174">
        <v>2017</v>
      </c>
      <c r="E39" s="174">
        <v>2018</v>
      </c>
      <c r="F39" s="174">
        <v>2019</v>
      </c>
      <c r="G39" s="135" t="s">
        <v>157</v>
      </c>
      <c r="O39" s="142"/>
      <c r="W39" s="136"/>
      <c r="X39" s="136"/>
      <c r="Y39" s="136"/>
      <c r="Z39" s="136"/>
      <c r="AA39" s="136"/>
    </row>
    <row r="40" spans="1:27">
      <c r="B40" s="135"/>
      <c r="C40" s="150" t="s">
        <v>24</v>
      </c>
      <c r="D40" s="164">
        <v>50000</v>
      </c>
      <c r="E40" s="164">
        <v>55000</v>
      </c>
      <c r="F40" s="164">
        <v>60500</v>
      </c>
      <c r="G40" s="135"/>
      <c r="W40" s="136"/>
      <c r="X40" s="136"/>
      <c r="Y40" s="136"/>
      <c r="Z40" s="136"/>
      <c r="AA40" s="136"/>
    </row>
    <row r="41" spans="1:27">
      <c r="B41" s="176"/>
      <c r="C41" s="150" t="s">
        <v>151</v>
      </c>
      <c r="D41" s="148">
        <v>750</v>
      </c>
      <c r="E41" s="148">
        <v>830</v>
      </c>
      <c r="F41" s="148">
        <v>901</v>
      </c>
      <c r="G41" s="135"/>
      <c r="W41" s="136"/>
      <c r="X41" s="136"/>
      <c r="Y41" s="136"/>
      <c r="Z41" s="136"/>
      <c r="AA41" s="136"/>
    </row>
    <row r="42" spans="1:27">
      <c r="B42" s="162"/>
      <c r="C42" s="162" t="s">
        <v>165</v>
      </c>
      <c r="D42" s="177">
        <f>D41/D40</f>
        <v>1.4999999999999999E-2</v>
      </c>
      <c r="E42" s="177">
        <f t="shared" ref="E42:F42" si="2">E41/E40</f>
        <v>1.5090909090909091E-2</v>
      </c>
      <c r="F42" s="177">
        <f t="shared" si="2"/>
        <v>1.4892561983471074E-2</v>
      </c>
      <c r="G42" s="178">
        <f>AVERAGE(D42:F42)</f>
        <v>1.4994490358126722E-2</v>
      </c>
      <c r="W42" s="136"/>
      <c r="X42" s="136"/>
      <c r="Y42" s="136"/>
      <c r="Z42" s="136"/>
      <c r="AA42" s="136"/>
    </row>
    <row r="43" spans="1:27">
      <c r="W43" s="136"/>
      <c r="X43" s="136"/>
      <c r="Y43" s="136"/>
      <c r="Z43" s="136"/>
      <c r="AA43" s="136"/>
    </row>
    <row r="44" spans="1:27">
      <c r="C44" s="136" t="s">
        <v>166</v>
      </c>
      <c r="R44" s="142"/>
      <c r="S44" s="142"/>
      <c r="T44" s="142"/>
      <c r="W44" s="136"/>
      <c r="X44" s="136"/>
      <c r="Y44" s="136"/>
      <c r="Z44" s="136"/>
      <c r="AA44" s="136"/>
    </row>
    <row r="45" spans="1:27">
      <c r="C45" s="172"/>
      <c r="D45" s="174">
        <v>2017</v>
      </c>
      <c r="E45" s="174">
        <v>2018</v>
      </c>
      <c r="F45" s="174">
        <v>2019</v>
      </c>
      <c r="G45" s="135" t="s">
        <v>157</v>
      </c>
      <c r="R45" s="142"/>
      <c r="S45" s="142"/>
      <c r="T45" s="142"/>
      <c r="W45" s="136"/>
      <c r="X45" s="136"/>
      <c r="Y45" s="136"/>
      <c r="Z45" s="136"/>
      <c r="AA45" s="136"/>
    </row>
    <row r="46" spans="1:27">
      <c r="B46" s="135"/>
      <c r="C46" s="150" t="s">
        <v>24</v>
      </c>
      <c r="D46" s="164">
        <v>50000</v>
      </c>
      <c r="E46" s="164">
        <v>55000</v>
      </c>
      <c r="F46" s="164">
        <v>60500</v>
      </c>
      <c r="G46" s="135"/>
      <c r="R46" s="142"/>
      <c r="S46" s="142"/>
      <c r="T46" s="142"/>
      <c r="W46" s="136"/>
      <c r="X46" s="136"/>
      <c r="Y46" s="136"/>
      <c r="Z46" s="136"/>
      <c r="AA46" s="136"/>
    </row>
    <row r="47" spans="1:27">
      <c r="B47" s="176"/>
      <c r="C47" s="150" t="s">
        <v>166</v>
      </c>
      <c r="D47" s="181">
        <v>7500</v>
      </c>
      <c r="E47" s="141">
        <v>8140</v>
      </c>
      <c r="F47" s="182">
        <v>9196</v>
      </c>
      <c r="G47" s="135"/>
      <c r="R47" s="142"/>
      <c r="S47" s="142"/>
      <c r="T47" s="142"/>
      <c r="W47" s="136"/>
      <c r="X47" s="136"/>
      <c r="Y47" s="136"/>
      <c r="Z47" s="136"/>
      <c r="AA47" s="136"/>
    </row>
    <row r="48" spans="1:27">
      <c r="B48" s="162"/>
      <c r="C48" s="162" t="s">
        <v>167</v>
      </c>
      <c r="D48" s="177">
        <f>D47/D46</f>
        <v>0.15</v>
      </c>
      <c r="E48" s="177">
        <f t="shared" ref="E48:F48" si="3">E47/E46</f>
        <v>0.14799999999999999</v>
      </c>
      <c r="F48" s="177">
        <f t="shared" si="3"/>
        <v>0.152</v>
      </c>
      <c r="G48" s="178">
        <f>AVERAGE(D48:F48)</f>
        <v>0.15</v>
      </c>
      <c r="O48" s="142"/>
      <c r="W48" s="136"/>
      <c r="X48" s="136"/>
      <c r="Y48" s="136"/>
      <c r="Z48" s="136"/>
      <c r="AA48" s="136"/>
    </row>
    <row r="49" spans="2:27">
      <c r="B49" s="167"/>
      <c r="C49" s="167"/>
      <c r="D49" s="167"/>
      <c r="E49" s="167"/>
      <c r="F49" s="167"/>
      <c r="G49" s="167"/>
      <c r="O49" s="142"/>
      <c r="P49" s="142"/>
      <c r="Q49" s="179"/>
      <c r="W49" s="136"/>
      <c r="X49" s="136"/>
      <c r="Y49" s="136"/>
      <c r="Z49" s="136"/>
      <c r="AA49" s="136"/>
    </row>
    <row r="50" spans="2:27">
      <c r="B50" s="154"/>
      <c r="C50" s="154" t="s">
        <v>168</v>
      </c>
      <c r="D50" s="154"/>
      <c r="E50" s="154"/>
      <c r="F50" s="154"/>
      <c r="G50" s="183">
        <f>SUM(G30,G36,G42,G48)</f>
        <v>0.21649173553719009</v>
      </c>
      <c r="H50" s="154"/>
      <c r="O50" s="142"/>
      <c r="R50" s="142"/>
      <c r="S50" s="142"/>
      <c r="T50" s="142"/>
      <c r="W50" s="136"/>
      <c r="X50" s="136"/>
      <c r="Y50" s="136"/>
      <c r="Z50" s="136"/>
      <c r="AA50" s="136"/>
    </row>
    <row r="51" spans="2:27">
      <c r="B51" s="167"/>
      <c r="C51" s="162"/>
      <c r="D51" s="162"/>
      <c r="E51" s="184"/>
      <c r="F51" s="184"/>
      <c r="G51" s="179"/>
      <c r="H51" s="179"/>
      <c r="O51" s="142"/>
      <c r="W51" s="136"/>
      <c r="X51" s="136"/>
      <c r="Y51" s="136"/>
      <c r="Z51" s="136"/>
      <c r="AA51" s="136"/>
    </row>
    <row r="52" spans="2:27">
      <c r="B52" s="138"/>
      <c r="C52" s="162"/>
      <c r="D52" s="162"/>
      <c r="E52" s="184"/>
      <c r="F52" s="184"/>
      <c r="G52" s="179"/>
      <c r="H52" s="179"/>
      <c r="O52" s="142"/>
      <c r="W52" s="136"/>
      <c r="X52" s="136"/>
      <c r="Y52" s="136"/>
      <c r="Z52" s="136"/>
      <c r="AA52" s="136"/>
    </row>
    <row r="53" spans="2:27">
      <c r="B53" s="136" t="s">
        <v>169</v>
      </c>
      <c r="C53" s="162"/>
      <c r="D53" s="162"/>
      <c r="E53" s="184"/>
      <c r="F53" s="184"/>
      <c r="G53" s="179"/>
      <c r="H53" s="179"/>
      <c r="O53" s="142"/>
      <c r="W53" s="136"/>
      <c r="X53" s="136"/>
      <c r="Y53" s="136"/>
      <c r="Z53" s="136"/>
      <c r="AA53" s="136"/>
    </row>
    <row r="54" spans="2:27">
      <c r="B54" s="183">
        <f>1-(G50)-3%</f>
        <v>0.75350826446280994</v>
      </c>
      <c r="C54" s="162"/>
      <c r="D54" s="162"/>
      <c r="E54" s="184"/>
      <c r="F54" s="184"/>
      <c r="G54" s="179"/>
      <c r="H54" s="185"/>
      <c r="O54" s="142"/>
      <c r="W54" s="136"/>
      <c r="X54" s="136"/>
      <c r="Y54" s="136"/>
      <c r="Z54" s="136"/>
      <c r="AA54" s="136"/>
    </row>
    <row r="55" spans="2:27">
      <c r="C55" s="142"/>
      <c r="D55" s="142"/>
      <c r="E55" s="142"/>
      <c r="F55" s="179"/>
      <c r="O55" s="142"/>
      <c r="W55" s="136"/>
      <c r="X55" s="136"/>
      <c r="Y55" s="136"/>
      <c r="Z55" s="136"/>
      <c r="AA55" s="136"/>
    </row>
    <row r="56" spans="2:27">
      <c r="B56" s="144"/>
      <c r="C56" s="142"/>
      <c r="D56" s="142"/>
      <c r="E56" s="142"/>
      <c r="F56" s="179"/>
      <c r="O56" s="142"/>
      <c r="W56" s="136"/>
      <c r="X56" s="136"/>
      <c r="Y56" s="136"/>
      <c r="Z56" s="136"/>
      <c r="AA56" s="136"/>
    </row>
    <row r="57" spans="2:27">
      <c r="B57" s="186"/>
      <c r="C57" s="142"/>
      <c r="D57" s="142"/>
      <c r="E57" s="142"/>
      <c r="F57" s="179"/>
      <c r="G57" s="142"/>
      <c r="H57" s="142"/>
      <c r="I57" s="142"/>
      <c r="O57" s="142"/>
      <c r="W57" s="136"/>
      <c r="X57" s="136"/>
      <c r="Y57" s="136"/>
      <c r="Z57" s="136"/>
      <c r="AA57" s="136"/>
    </row>
    <row r="58" spans="2:27">
      <c r="B58" s="144"/>
      <c r="C58" s="142"/>
      <c r="D58" s="142"/>
      <c r="E58" s="142"/>
      <c r="F58" s="179"/>
      <c r="G58" s="142"/>
      <c r="H58" s="142"/>
      <c r="I58" s="142"/>
      <c r="O58" s="142"/>
      <c r="W58" s="136"/>
      <c r="X58" s="136"/>
      <c r="Y58" s="136"/>
      <c r="Z58" s="136"/>
      <c r="AA58" s="136"/>
    </row>
    <row r="59" spans="2:27">
      <c r="B59" s="186"/>
      <c r="C59" s="142"/>
      <c r="D59" s="142"/>
      <c r="E59" s="142"/>
      <c r="F59" s="179"/>
      <c r="G59" s="142"/>
      <c r="H59" s="142"/>
      <c r="I59" s="142"/>
      <c r="O59" s="142"/>
      <c r="W59" s="136"/>
      <c r="X59" s="136"/>
      <c r="Y59" s="136"/>
      <c r="Z59" s="136"/>
      <c r="AA59" s="136"/>
    </row>
    <row r="60" spans="2:27">
      <c r="B60" s="140"/>
      <c r="C60" s="142"/>
      <c r="D60" s="142"/>
      <c r="E60" s="142"/>
      <c r="F60" s="179"/>
      <c r="G60" s="142"/>
      <c r="H60" s="142"/>
      <c r="I60" s="142"/>
      <c r="O60" s="142"/>
      <c r="W60" s="136"/>
      <c r="X60" s="136"/>
      <c r="Y60" s="136"/>
      <c r="Z60" s="136"/>
      <c r="AA60" s="136"/>
    </row>
    <row r="61" spans="2:27">
      <c r="B61" s="144"/>
      <c r="C61" s="142"/>
      <c r="D61" s="142"/>
      <c r="E61" s="142"/>
      <c r="F61" s="179"/>
      <c r="G61" s="142"/>
      <c r="H61" s="142"/>
      <c r="I61" s="142"/>
      <c r="O61" s="142"/>
      <c r="W61" s="136"/>
      <c r="X61" s="136"/>
      <c r="Y61" s="136"/>
      <c r="Z61" s="136"/>
      <c r="AA61" s="136"/>
    </row>
    <row r="62" spans="2:27">
      <c r="C62" s="142"/>
      <c r="D62" s="142"/>
      <c r="E62" s="142"/>
      <c r="F62" s="179"/>
      <c r="G62" s="142"/>
      <c r="H62" s="142"/>
      <c r="I62" s="142"/>
      <c r="O62" s="142"/>
      <c r="W62" s="136"/>
      <c r="X62" s="136"/>
      <c r="Y62" s="136"/>
      <c r="Z62" s="136"/>
      <c r="AA62" s="136"/>
    </row>
    <row r="63" spans="2:27">
      <c r="C63" s="142"/>
      <c r="D63" s="142"/>
      <c r="E63" s="142"/>
      <c r="F63" s="179"/>
      <c r="G63" s="142"/>
      <c r="H63" s="142"/>
      <c r="I63" s="142"/>
      <c r="O63" s="142"/>
      <c r="W63" s="136"/>
      <c r="X63" s="136"/>
      <c r="Y63" s="136"/>
      <c r="Z63" s="136"/>
      <c r="AA63" s="136"/>
    </row>
    <row r="64" spans="2:27">
      <c r="B64" s="144"/>
      <c r="C64" s="142"/>
      <c r="D64" s="142"/>
      <c r="E64" s="142"/>
      <c r="F64" s="179"/>
      <c r="G64" s="142"/>
      <c r="H64" s="142"/>
      <c r="I64" s="142"/>
      <c r="O64" s="142"/>
      <c r="W64" s="136"/>
      <c r="X64" s="136"/>
      <c r="Y64" s="136"/>
      <c r="Z64" s="136"/>
      <c r="AA64" s="136"/>
    </row>
    <row r="65" spans="2:27">
      <c r="B65" s="138"/>
      <c r="C65" s="142"/>
      <c r="D65" s="142"/>
      <c r="E65" s="142"/>
      <c r="F65" s="179"/>
      <c r="G65" s="142"/>
      <c r="H65" s="142"/>
      <c r="I65" s="142"/>
      <c r="O65" s="142"/>
      <c r="W65" s="136"/>
      <c r="X65" s="136"/>
      <c r="Y65" s="136"/>
      <c r="Z65" s="136"/>
      <c r="AA65" s="136"/>
    </row>
    <row r="66" spans="2:27">
      <c r="C66" s="142"/>
      <c r="D66" s="142"/>
      <c r="E66" s="142"/>
      <c r="F66" s="179"/>
      <c r="G66" s="142"/>
      <c r="H66" s="142"/>
      <c r="I66" s="142"/>
      <c r="O66" s="142"/>
      <c r="W66" s="136"/>
      <c r="X66" s="136"/>
      <c r="Y66" s="136"/>
      <c r="Z66" s="136"/>
      <c r="AA66" s="136"/>
    </row>
    <row r="67" spans="2:27">
      <c r="C67" s="142"/>
      <c r="D67" s="142"/>
      <c r="E67" s="142"/>
      <c r="F67" s="179"/>
      <c r="G67" s="142"/>
      <c r="H67" s="142"/>
      <c r="I67" s="142"/>
      <c r="O67" s="142"/>
      <c r="W67" s="136"/>
      <c r="X67" s="136"/>
      <c r="Y67" s="136"/>
      <c r="Z67" s="136"/>
      <c r="AA67" s="136"/>
    </row>
    <row r="68" spans="2:27">
      <c r="C68" s="142"/>
      <c r="D68" s="142"/>
      <c r="E68" s="142"/>
      <c r="F68" s="179"/>
      <c r="G68" s="142"/>
      <c r="H68" s="142"/>
      <c r="I68" s="142"/>
      <c r="O68" s="142"/>
      <c r="W68" s="136"/>
      <c r="X68" s="136"/>
      <c r="Y68" s="136"/>
      <c r="Z68" s="136"/>
      <c r="AA68" s="136"/>
    </row>
    <row r="69" spans="2:27">
      <c r="C69" s="142"/>
      <c r="D69" s="142"/>
      <c r="E69" s="142"/>
      <c r="F69" s="179"/>
      <c r="G69" s="142"/>
      <c r="H69" s="142"/>
      <c r="I69" s="142"/>
      <c r="O69" s="142"/>
      <c r="W69" s="136"/>
      <c r="X69" s="136"/>
      <c r="Y69" s="136"/>
      <c r="Z69" s="136"/>
      <c r="AA69" s="136"/>
    </row>
    <row r="70" spans="2:27">
      <c r="O70" s="142"/>
      <c r="W70" s="136"/>
      <c r="X70" s="136"/>
      <c r="Y70" s="136"/>
      <c r="Z70" s="136"/>
      <c r="AA70" s="136"/>
    </row>
    <row r="71" spans="2:27">
      <c r="O71" s="142"/>
      <c r="W71" s="136"/>
      <c r="X71" s="136"/>
      <c r="Y71" s="136"/>
      <c r="Z71" s="136"/>
      <c r="AA71" s="136"/>
    </row>
    <row r="72" spans="2:27">
      <c r="O72" s="142"/>
      <c r="W72" s="136"/>
      <c r="X72" s="136"/>
      <c r="Y72" s="136"/>
      <c r="Z72" s="136"/>
      <c r="AA72" s="136"/>
    </row>
    <row r="73" spans="2:27">
      <c r="K73" s="142"/>
      <c r="L73" s="142"/>
      <c r="M73" s="142"/>
      <c r="N73" s="142"/>
      <c r="O73" s="142"/>
      <c r="W73" s="136"/>
      <c r="X73" s="136"/>
      <c r="Y73" s="136"/>
      <c r="Z73" s="136"/>
      <c r="AA73" s="136"/>
    </row>
    <row r="74" spans="2:27">
      <c r="K74" s="142"/>
      <c r="L74" s="142"/>
      <c r="M74" s="142"/>
      <c r="N74" s="142"/>
      <c r="O74" s="142"/>
      <c r="W74" s="136"/>
      <c r="X74" s="136"/>
      <c r="Y74" s="136"/>
      <c r="Z74" s="136"/>
      <c r="AA74" s="136"/>
    </row>
    <row r="75" spans="2:27">
      <c r="K75" s="142"/>
      <c r="L75" s="142"/>
      <c r="M75" s="142"/>
      <c r="N75" s="142"/>
      <c r="O75" s="142"/>
      <c r="W75" s="136"/>
      <c r="X75" s="136"/>
      <c r="Y75" s="136"/>
      <c r="Z75" s="136"/>
      <c r="AA75" s="136"/>
    </row>
    <row r="76" spans="2:27">
      <c r="K76" s="142"/>
      <c r="L76" s="142"/>
      <c r="M76" s="142"/>
      <c r="N76" s="142"/>
      <c r="O76" s="142"/>
      <c r="W76" s="136"/>
      <c r="X76" s="136"/>
      <c r="Y76" s="136"/>
      <c r="Z76" s="136"/>
      <c r="AA76" s="136"/>
    </row>
    <row r="77" spans="2:27">
      <c r="L77" s="142"/>
      <c r="M77" s="142"/>
      <c r="N77" s="142"/>
      <c r="O77" s="142"/>
      <c r="P77" s="142"/>
      <c r="W77" s="136"/>
      <c r="X77" s="136"/>
      <c r="Y77" s="136"/>
      <c r="Z77" s="136"/>
      <c r="AA77" s="136"/>
    </row>
    <row r="78" spans="2:27">
      <c r="L78" s="142"/>
      <c r="M78" s="142"/>
      <c r="N78" s="142"/>
      <c r="O78" s="142"/>
      <c r="P78" s="142"/>
      <c r="W78" s="136"/>
      <c r="X78" s="136"/>
      <c r="Y78" s="136"/>
      <c r="Z78" s="136"/>
      <c r="AA78" s="136"/>
    </row>
    <row r="79" spans="2:27">
      <c r="L79" s="142"/>
      <c r="M79" s="142"/>
      <c r="N79" s="142"/>
      <c r="O79" s="142"/>
      <c r="P79" s="142"/>
      <c r="W79" s="136"/>
      <c r="X79" s="136"/>
      <c r="Y79" s="136"/>
      <c r="Z79" s="136"/>
      <c r="AA79" s="136"/>
    </row>
    <row r="80" spans="2:27">
      <c r="L80" s="142"/>
      <c r="M80" s="142"/>
      <c r="N80" s="142"/>
      <c r="O80" s="142"/>
      <c r="P80" s="142"/>
      <c r="W80" s="136"/>
      <c r="X80" s="136"/>
      <c r="Y80" s="136"/>
      <c r="Z80" s="136"/>
      <c r="AA80" s="136"/>
    </row>
    <row r="81" spans="12:27">
      <c r="L81" s="142"/>
      <c r="M81" s="142"/>
      <c r="N81" s="142"/>
      <c r="O81" s="142"/>
      <c r="P81" s="142"/>
      <c r="W81" s="136"/>
      <c r="X81" s="136"/>
      <c r="Y81" s="136"/>
      <c r="Z81" s="136"/>
      <c r="AA81" s="136"/>
    </row>
    <row r="82" spans="12:27">
      <c r="L82" s="142"/>
      <c r="M82" s="142"/>
      <c r="N82" s="142"/>
      <c r="O82" s="142"/>
      <c r="P82" s="142"/>
      <c r="W82" s="136"/>
      <c r="X82" s="136"/>
      <c r="Y82" s="136"/>
      <c r="Z82" s="136"/>
      <c r="AA82" s="136"/>
    </row>
    <row r="83" spans="12:27">
      <c r="L83" s="142"/>
      <c r="M83" s="142"/>
      <c r="N83" s="142"/>
      <c r="O83" s="142"/>
      <c r="P83" s="142"/>
      <c r="W83" s="136"/>
      <c r="X83" s="136"/>
      <c r="Y83" s="136"/>
      <c r="Z83" s="136"/>
      <c r="AA83" s="136"/>
    </row>
    <row r="84" spans="12:27">
      <c r="L84" s="142"/>
      <c r="M84" s="142"/>
      <c r="N84" s="142"/>
      <c r="O84" s="142"/>
      <c r="P84" s="142"/>
      <c r="W84" s="136"/>
      <c r="X84" s="136"/>
      <c r="Y84" s="136"/>
      <c r="Z84" s="136"/>
      <c r="AA84" s="136"/>
    </row>
    <row r="85" spans="12:27">
      <c r="L85" s="142"/>
      <c r="M85" s="142"/>
      <c r="N85" s="142"/>
      <c r="O85" s="142"/>
      <c r="P85" s="142"/>
      <c r="W85" s="136"/>
      <c r="X85" s="136"/>
      <c r="Y85" s="136"/>
      <c r="Z85" s="136"/>
      <c r="AA85" s="136"/>
    </row>
    <row r="86" spans="12:27">
      <c r="L86" s="142"/>
      <c r="M86" s="142"/>
      <c r="N86" s="142"/>
      <c r="O86" s="142"/>
      <c r="P86" s="142"/>
      <c r="W86" s="136"/>
      <c r="X86" s="136"/>
      <c r="Y86" s="136"/>
      <c r="Z86" s="136"/>
      <c r="AA86" s="136"/>
    </row>
    <row r="87" spans="12:27">
      <c r="L87" s="142"/>
      <c r="M87" s="142"/>
      <c r="N87" s="142"/>
      <c r="O87" s="142"/>
      <c r="P87" s="142"/>
      <c r="W87" s="136"/>
      <c r="X87" s="136"/>
      <c r="Y87" s="136"/>
      <c r="Z87" s="136"/>
      <c r="AA87" s="136"/>
    </row>
    <row r="88" spans="12:27">
      <c r="L88" s="142"/>
      <c r="M88" s="142"/>
      <c r="N88" s="142"/>
      <c r="O88" s="142"/>
      <c r="P88" s="142"/>
      <c r="W88" s="136"/>
      <c r="X88" s="136"/>
      <c r="Y88" s="136"/>
      <c r="Z88" s="136"/>
      <c r="AA88" s="136"/>
    </row>
    <row r="89" spans="12:27">
      <c r="L89" s="142"/>
      <c r="M89" s="142"/>
      <c r="N89" s="142"/>
      <c r="O89" s="142"/>
      <c r="P89" s="142"/>
      <c r="W89" s="136"/>
      <c r="X89" s="136"/>
      <c r="Y89" s="136"/>
      <c r="Z89" s="136"/>
      <c r="AA89" s="136"/>
    </row>
    <row r="90" spans="12:27">
      <c r="L90" s="142"/>
      <c r="M90" s="142"/>
      <c r="N90" s="142"/>
      <c r="O90" s="142"/>
      <c r="W90" s="136"/>
      <c r="X90" s="136"/>
      <c r="Y90" s="136"/>
      <c r="Z90" s="136"/>
      <c r="AA90" s="136"/>
    </row>
    <row r="91" spans="12:27">
      <c r="W91" s="136"/>
      <c r="X91" s="136"/>
      <c r="Y91" s="136"/>
      <c r="Z91" s="136"/>
      <c r="AA91" s="136"/>
    </row>
    <row r="92" spans="12:27">
      <c r="W92" s="136"/>
      <c r="X92" s="136"/>
      <c r="Y92" s="136"/>
      <c r="Z92" s="136"/>
      <c r="AA92" s="136"/>
    </row>
    <row r="93" spans="12:27">
      <c r="W93" s="136"/>
      <c r="X93" s="136"/>
      <c r="Y93" s="136"/>
      <c r="Z93" s="136"/>
      <c r="AA93" s="136"/>
    </row>
    <row r="94" spans="12:27">
      <c r="W94" s="136"/>
      <c r="X94" s="136"/>
      <c r="Y94" s="136"/>
      <c r="Z94" s="136"/>
      <c r="AA94" s="136"/>
    </row>
    <row r="95" spans="12:27">
      <c r="W95" s="136"/>
      <c r="X95" s="136"/>
      <c r="Y95" s="136"/>
      <c r="Z95" s="136"/>
      <c r="AA95" s="136"/>
    </row>
    <row r="96" spans="12:27">
      <c r="W96" s="136"/>
      <c r="X96" s="136"/>
      <c r="Y96" s="136"/>
      <c r="Z96" s="136"/>
      <c r="AA96" s="136"/>
    </row>
    <row r="97" s="136" customFormat="1"/>
    <row r="98" s="136" customFormat="1"/>
    <row r="99" s="136" customFormat="1"/>
    <row r="100" s="136" customFormat="1"/>
    <row r="101" s="136" customFormat="1"/>
    <row r="102" s="136" customFormat="1"/>
    <row r="103" s="136" customFormat="1"/>
    <row r="104" s="136" customFormat="1"/>
    <row r="105" s="136" customFormat="1"/>
    <row r="106" s="136" customFormat="1"/>
    <row r="107" s="136" customFormat="1"/>
    <row r="108" s="136" customFormat="1"/>
    <row r="109" s="136" customFormat="1"/>
    <row r="110" s="136" customFormat="1"/>
    <row r="111" s="136" customFormat="1"/>
    <row r="112" s="136" customFormat="1"/>
    <row r="113" s="136" customFormat="1"/>
    <row r="114" s="136" customFormat="1"/>
    <row r="115" s="136" customFormat="1"/>
    <row r="116" s="136" customFormat="1"/>
    <row r="117" s="136" customFormat="1"/>
    <row r="118" s="136" customFormat="1"/>
    <row r="119" s="136" customFormat="1"/>
    <row r="120" s="136" customFormat="1"/>
    <row r="121" s="136" customFormat="1"/>
    <row r="122" s="136" customFormat="1"/>
    <row r="123" s="136" customFormat="1"/>
    <row r="124" s="136" customFormat="1"/>
    <row r="125" s="136" customFormat="1"/>
    <row r="126" s="136" customFormat="1"/>
    <row r="127" s="136" customFormat="1"/>
    <row r="128" s="136" customFormat="1"/>
    <row r="129" s="136" customFormat="1"/>
    <row r="130" s="136" customFormat="1"/>
    <row r="131" s="136" customFormat="1"/>
    <row r="132" s="136" customFormat="1"/>
    <row r="133" s="136" customFormat="1"/>
    <row r="134" s="136" customFormat="1"/>
    <row r="135" s="136" customFormat="1"/>
    <row r="136" s="136" customFormat="1"/>
    <row r="137" s="136" customFormat="1"/>
    <row r="138" s="136" customFormat="1"/>
    <row r="139" s="136" customFormat="1"/>
    <row r="140" s="136" customFormat="1"/>
    <row r="141" s="136" customFormat="1"/>
    <row r="142" s="136" customFormat="1"/>
    <row r="143" s="136" customFormat="1"/>
    <row r="144" s="136" customFormat="1"/>
    <row r="145" s="136" customFormat="1"/>
    <row r="146" s="136" customFormat="1"/>
    <row r="147" s="136" customFormat="1"/>
    <row r="148" s="136" customFormat="1"/>
    <row r="149" s="136" customFormat="1"/>
    <row r="150" s="136" customFormat="1"/>
    <row r="151" s="136" customFormat="1"/>
    <row r="152" s="136" customFormat="1"/>
    <row r="153" s="136" customFormat="1"/>
    <row r="154" s="136" customFormat="1"/>
    <row r="155" s="136" customFormat="1"/>
    <row r="156" s="136" customFormat="1"/>
    <row r="157" s="136" customFormat="1"/>
    <row r="158" s="136" customFormat="1"/>
    <row r="159" s="136" customFormat="1"/>
    <row r="160" s="136" customFormat="1"/>
    <row r="161" s="136" customFormat="1"/>
    <row r="162" s="136" customFormat="1"/>
    <row r="163" s="136" customFormat="1"/>
    <row r="164" s="136" customFormat="1"/>
    <row r="165" s="136" customFormat="1"/>
    <row r="166" s="136" customFormat="1"/>
    <row r="167" s="136" customFormat="1"/>
    <row r="168" s="136" customFormat="1"/>
    <row r="169" s="136" customFormat="1"/>
    <row r="170" s="136" customFormat="1"/>
    <row r="171" s="136" customFormat="1"/>
    <row r="172" s="136" customFormat="1"/>
    <row r="173" s="136" customFormat="1"/>
    <row r="174" s="136" customFormat="1"/>
    <row r="175" s="136" customFormat="1"/>
    <row r="176" s="136" customFormat="1"/>
    <row r="177" s="136" customFormat="1"/>
    <row r="178" s="136" customFormat="1"/>
    <row r="179" s="136" customFormat="1"/>
    <row r="180" s="136" customFormat="1"/>
    <row r="181" s="136" customFormat="1"/>
    <row r="182" s="136" customFormat="1"/>
    <row r="183" s="136" customFormat="1"/>
    <row r="184" s="136" customFormat="1"/>
    <row r="185" s="136" customFormat="1"/>
    <row r="186" s="136" customFormat="1"/>
    <row r="187" s="136" customFormat="1"/>
    <row r="188" s="136" customFormat="1"/>
    <row r="189" s="136" customFormat="1"/>
    <row r="190" s="136" customFormat="1"/>
    <row r="191" s="136" customFormat="1"/>
    <row r="192" s="136" customFormat="1"/>
    <row r="193" s="136" customFormat="1"/>
    <row r="194" s="136" customFormat="1"/>
    <row r="195" s="136" customFormat="1"/>
    <row r="196" s="136" customFormat="1"/>
    <row r="197" s="136" customFormat="1"/>
    <row r="198" s="136" customFormat="1"/>
    <row r="199" s="136" customFormat="1"/>
    <row r="200" s="136" customFormat="1"/>
    <row r="201" s="136" customFormat="1"/>
    <row r="202" s="136" customFormat="1"/>
    <row r="203" s="136" customFormat="1"/>
    <row r="204" s="136" customFormat="1"/>
    <row r="205" s="136" customFormat="1"/>
    <row r="206" s="136" customFormat="1"/>
    <row r="207" s="136" customFormat="1"/>
    <row r="208" s="136" customFormat="1"/>
    <row r="209" s="136" customFormat="1"/>
    <row r="210" s="136" customFormat="1"/>
    <row r="211" s="136" customFormat="1"/>
    <row r="212" s="136" customFormat="1"/>
    <row r="213" s="136" customFormat="1"/>
    <row r="214" s="136" customFormat="1"/>
    <row r="215" s="136" customFormat="1"/>
    <row r="216" s="136" customFormat="1"/>
    <row r="217" s="136" customFormat="1"/>
    <row r="218" s="136" customFormat="1"/>
    <row r="219" s="136" customFormat="1"/>
    <row r="220" s="136" customFormat="1"/>
    <row r="221" s="136" customFormat="1"/>
    <row r="222" s="136" customFormat="1"/>
    <row r="223" s="136" customFormat="1"/>
    <row r="224" s="136" customFormat="1"/>
    <row r="225" s="136" customFormat="1"/>
    <row r="226" s="136" customFormat="1"/>
    <row r="227" s="136" customFormat="1"/>
    <row r="228" s="136" customFormat="1"/>
    <row r="229" s="136" customFormat="1"/>
    <row r="230" s="136" customFormat="1"/>
    <row r="231" s="136" customFormat="1"/>
    <row r="232" s="136" customFormat="1"/>
    <row r="233" s="136" customFormat="1"/>
    <row r="234" s="136" customFormat="1"/>
    <row r="235" s="136" customFormat="1"/>
    <row r="236" s="136" customFormat="1"/>
    <row r="237" s="136" customFormat="1"/>
    <row r="238" s="136" customFormat="1"/>
    <row r="239" s="136" customFormat="1"/>
    <row r="240" s="136" customFormat="1"/>
    <row r="241" s="136" customFormat="1"/>
    <row r="242" s="136" customFormat="1"/>
    <row r="243" s="136" customFormat="1"/>
    <row r="244" s="136" customFormat="1"/>
    <row r="245" s="136" customFormat="1"/>
    <row r="246" s="136" customFormat="1"/>
    <row r="247" s="136" customFormat="1"/>
    <row r="248" s="136" customFormat="1"/>
    <row r="249" s="136" customFormat="1"/>
    <row r="250" s="136" customFormat="1"/>
    <row r="251" s="136" customFormat="1"/>
    <row r="252" s="136" customFormat="1"/>
    <row r="253" s="136" customFormat="1"/>
    <row r="254" s="136" customFormat="1"/>
    <row r="255" s="136" customFormat="1"/>
    <row r="256" s="136" customFormat="1"/>
    <row r="257" s="136" customFormat="1"/>
    <row r="258" s="136" customFormat="1"/>
    <row r="259" s="136" customFormat="1"/>
    <row r="260" s="136" customFormat="1"/>
    <row r="261" s="136" customFormat="1"/>
    <row r="262" s="136" customFormat="1"/>
    <row r="263" s="136" customFormat="1"/>
    <row r="264" s="136" customFormat="1"/>
    <row r="265" s="136" customFormat="1"/>
    <row r="266" s="136" customFormat="1"/>
    <row r="267" s="136" customFormat="1"/>
    <row r="268" s="136" customFormat="1"/>
    <row r="269" s="136" customFormat="1"/>
    <row r="270" s="136" customFormat="1"/>
    <row r="271" s="136" customFormat="1"/>
    <row r="272" s="136" customFormat="1"/>
    <row r="273" s="136" customFormat="1"/>
    <row r="274" s="136" customFormat="1"/>
    <row r="275" s="136" customFormat="1"/>
    <row r="276" s="136" customFormat="1"/>
    <row r="277" s="136" customFormat="1"/>
    <row r="278" s="136" customFormat="1"/>
    <row r="279" s="136" customFormat="1"/>
    <row r="280" s="136" customFormat="1"/>
    <row r="281" s="136" customFormat="1"/>
    <row r="282" s="136" customFormat="1"/>
    <row r="283" s="136" customFormat="1"/>
    <row r="284" s="136" customFormat="1"/>
    <row r="285" s="136" customFormat="1"/>
    <row r="286" s="136" customFormat="1"/>
    <row r="287" s="136" customFormat="1"/>
    <row r="288" s="136" customFormat="1"/>
    <row r="289" s="136" customFormat="1"/>
    <row r="290" s="136" customFormat="1"/>
    <row r="291" s="136" customFormat="1"/>
    <row r="292" s="136" customFormat="1"/>
    <row r="293" s="136" customFormat="1"/>
    <row r="294" s="136" customFormat="1"/>
    <row r="295" s="136" customFormat="1"/>
    <row r="296" s="136" customFormat="1"/>
    <row r="297" s="136" customFormat="1"/>
    <row r="298" s="136" customFormat="1"/>
    <row r="299" s="136" customFormat="1"/>
    <row r="300" s="136" customFormat="1"/>
    <row r="301" s="136" customFormat="1"/>
    <row r="302" s="136" customFormat="1"/>
    <row r="303" s="136" customFormat="1"/>
    <row r="304" s="136" customFormat="1"/>
    <row r="305" s="136" customFormat="1"/>
    <row r="306" s="136" customFormat="1"/>
    <row r="307" s="136" customFormat="1"/>
    <row r="308" s="136" customFormat="1"/>
    <row r="309" s="136" customFormat="1"/>
    <row r="310" s="136" customFormat="1"/>
    <row r="311" s="136" customFormat="1"/>
    <row r="312" s="136" customFormat="1"/>
    <row r="313" s="136" customFormat="1"/>
    <row r="314" s="136" customFormat="1"/>
    <row r="315" s="136" customFormat="1"/>
    <row r="316" s="136" customFormat="1"/>
    <row r="317" s="136" customFormat="1"/>
    <row r="318" s="136" customFormat="1"/>
    <row r="319" s="136" customFormat="1"/>
    <row r="320" s="136" customFormat="1"/>
    <row r="321" s="136" customFormat="1"/>
    <row r="322" s="136" customFormat="1"/>
    <row r="323" s="136" customFormat="1"/>
    <row r="324" s="136" customFormat="1"/>
    <row r="325" s="136" customFormat="1"/>
    <row r="326" s="136" customFormat="1"/>
    <row r="327" s="136" customFormat="1"/>
    <row r="328" s="136" customFormat="1"/>
    <row r="329" s="136" customFormat="1"/>
    <row r="330" s="136" customFormat="1"/>
    <row r="331" s="136" customFormat="1"/>
    <row r="332" s="136" customFormat="1"/>
    <row r="333" s="136" customFormat="1"/>
    <row r="334" s="136" customFormat="1"/>
    <row r="335" s="136" customFormat="1"/>
    <row r="336" s="136" customFormat="1"/>
    <row r="337" s="136" customFormat="1"/>
    <row r="338" s="136" customFormat="1"/>
    <row r="339" s="136" customFormat="1"/>
    <row r="340" s="136" customFormat="1"/>
    <row r="341" s="136" customFormat="1"/>
    <row r="342" s="136" customFormat="1"/>
    <row r="343" s="136" customFormat="1"/>
    <row r="344" s="136" customFormat="1"/>
    <row r="345" s="136" customFormat="1"/>
    <row r="346" s="136" customFormat="1"/>
    <row r="347" s="136" customFormat="1"/>
    <row r="348" s="136" customFormat="1"/>
    <row r="349" s="136" customFormat="1"/>
    <row r="350" s="136" customFormat="1"/>
    <row r="351" s="136" customFormat="1"/>
    <row r="352" s="136" customFormat="1"/>
    <row r="353" s="136" customFormat="1"/>
    <row r="354" s="136" customFormat="1"/>
    <row r="355" s="136" customFormat="1"/>
    <row r="356" s="136" customFormat="1"/>
    <row r="357" s="136" customFormat="1"/>
    <row r="358" s="136" customFormat="1"/>
    <row r="359" s="136" customFormat="1"/>
    <row r="360" s="136" customFormat="1"/>
    <row r="361" s="136" customFormat="1"/>
    <row r="362" s="136" customFormat="1"/>
    <row r="363" s="136" customFormat="1"/>
    <row r="364" s="136" customFormat="1"/>
    <row r="365" s="136" customFormat="1"/>
    <row r="366" s="136" customFormat="1"/>
    <row r="367" s="136" customFormat="1"/>
    <row r="368" s="136" customFormat="1"/>
    <row r="369" spans="23:27">
      <c r="W369" s="136"/>
      <c r="X369" s="136"/>
      <c r="Y369" s="136"/>
      <c r="Z369" s="136"/>
      <c r="AA369" s="136"/>
    </row>
    <row r="370" spans="23:27">
      <c r="W370" s="136"/>
      <c r="X370" s="136"/>
      <c r="Y370" s="136"/>
      <c r="Z370" s="136"/>
      <c r="AA370" s="136"/>
    </row>
    <row r="371" spans="23:27">
      <c r="W371" s="136"/>
      <c r="X371" s="136"/>
      <c r="Y371" s="136"/>
      <c r="Z371" s="136"/>
      <c r="AA371" s="136"/>
    </row>
    <row r="372" spans="23:27">
      <c r="W372" s="136"/>
      <c r="X372" s="136"/>
      <c r="Y372" s="136"/>
      <c r="Z372" s="136"/>
      <c r="AA372" s="136"/>
    </row>
    <row r="373" spans="23:27">
      <c r="W373" s="136"/>
      <c r="X373" s="136"/>
      <c r="Y373" s="136"/>
      <c r="Z373" s="136"/>
      <c r="AA373" s="136"/>
    </row>
    <row r="374" spans="23:27">
      <c r="W374" s="136"/>
      <c r="X374" s="136"/>
      <c r="Y374" s="136"/>
      <c r="Z374" s="136"/>
      <c r="AA374" s="136"/>
    </row>
    <row r="375" spans="23:27">
      <c r="W375" s="136"/>
      <c r="X375" s="136"/>
      <c r="Y375" s="136"/>
      <c r="Z375" s="136"/>
      <c r="AA375" s="136"/>
    </row>
    <row r="376" spans="23:27">
      <c r="W376" s="136"/>
      <c r="X376" s="136"/>
      <c r="Y376" s="136"/>
      <c r="Z376" s="136"/>
      <c r="AA376" s="136"/>
    </row>
    <row r="377" spans="23:27">
      <c r="W377" s="136"/>
      <c r="X377" s="136"/>
      <c r="Y377" s="136"/>
      <c r="Z377" s="136"/>
      <c r="AA377" s="136"/>
    </row>
    <row r="378" spans="23:27">
      <c r="W378" s="136"/>
      <c r="X378" s="136"/>
      <c r="Y378" s="136"/>
      <c r="Z378" s="136"/>
      <c r="AA378" s="136"/>
    </row>
    <row r="379" spans="23:27"/>
    <row r="380" spans="23:27"/>
    <row r="381" spans="23:27"/>
    <row r="382" spans="23:27"/>
    <row r="383" spans="23:27"/>
    <row r="384" spans="23:27"/>
    <row r="385"/>
    <row r="386"/>
    <row r="387"/>
    <row r="388"/>
    <row r="389"/>
    <row r="390"/>
    <row r="391"/>
  </sheetData>
  <conditionalFormatting sqref="B21:B22 I22:I26 B23:G23 C24:G24 G25:G26 C27:G30 I28:I54 B31:G31 B32:B35 B36:G37 F49:G49 Q49 B49:E50 F50:H50 B51:D51 C52:D54 G55:I56 C76:E76 D77:F81 C77:C82 G77:G82 P90:P95 B91:B96 H91:O96">
    <cfRule type="expression" dxfId="36" priority="21">
      <formula>CELL("protect",B21)=1</formula>
    </cfRule>
  </conditionalFormatting>
  <conditionalFormatting sqref="B38:B41 B42:G43">
    <cfRule type="expression" dxfId="35" priority="13">
      <formula>CELL("protect",B38)=1</formula>
    </cfRule>
  </conditionalFormatting>
  <conditionalFormatting sqref="B44:B47 B48:G48">
    <cfRule type="expression" dxfId="34" priority="11">
      <formula>CELL("protect",B44)=1</formula>
    </cfRule>
  </conditionalFormatting>
  <conditionalFormatting sqref="B52:B61">
    <cfRule type="expression" dxfId="33" priority="7">
      <formula>CELL("protect",B52)=1</formula>
    </cfRule>
  </conditionalFormatting>
  <conditionalFormatting sqref="B64:B70">
    <cfRule type="expression" dxfId="32" priority="6">
      <formula>CELL("protect",B64)=1</formula>
    </cfRule>
  </conditionalFormatting>
  <conditionalFormatting sqref="C32:G33 G34:G35">
    <cfRule type="expression" dxfId="31" priority="14">
      <formula>CELL("protect",C32)=1</formula>
    </cfRule>
  </conditionalFormatting>
  <conditionalFormatting sqref="C38:G39 G40:G41">
    <cfRule type="expression" dxfId="30" priority="12">
      <formula>CELL("protect",C38)=1</formula>
    </cfRule>
  </conditionalFormatting>
  <conditionalFormatting sqref="C44:G45 G46:G47">
    <cfRule type="expression" dxfId="29" priority="10">
      <formula>CELL("protect",C44)=1</formula>
    </cfRule>
  </conditionalFormatting>
  <conditionalFormatting sqref="E51:E54">
    <cfRule type="expression" dxfId="28" priority="18">
      <formula>CELL("protect",E51)=1</formula>
    </cfRule>
  </conditionalFormatting>
  <conditionalFormatting sqref="E51:F53">
    <cfRule type="expression" dxfId="27" priority="20">
      <formula>CELL("protect",E51)=1</formula>
    </cfRule>
  </conditionalFormatting>
  <conditionalFormatting sqref="F51:F69">
    <cfRule type="expression" dxfId="26" priority="17">
      <formula>CELL("protect",F51)=1</formula>
    </cfRule>
  </conditionalFormatting>
  <conditionalFormatting sqref="G51:G54">
    <cfRule type="expression" dxfId="25" priority="16">
      <formula>CELL("protect",G51)=1</formula>
    </cfRule>
  </conditionalFormatting>
  <conditionalFormatting sqref="H50:H54">
    <cfRule type="expression" dxfId="24" priority="15">
      <formula>CELL("protect",H50)=1</formula>
    </cfRule>
  </conditionalFormatting>
  <conditionalFormatting sqref="K7:O8 O9:O39 K10:N21 R44:T47 O48:O76 P49 R50:T50 C55:E69 G57:I69 K73:N76 P77:P89 L77:O90">
    <cfRule type="expression" dxfId="23" priority="22">
      <formula>CELL("protect",C7)=1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4A75B-EA4D-40C9-BD24-AC4C621E8399}">
  <dimension ref="A1:F18"/>
  <sheetViews>
    <sheetView zoomScale="90" zoomScaleNormal="90" workbookViewId="0"/>
  </sheetViews>
  <sheetFormatPr defaultColWidth="8.7265625" defaultRowHeight="14.5"/>
  <cols>
    <col min="1" max="1" width="10.26953125" style="1" customWidth="1"/>
    <col min="2" max="16384" width="8.7265625" style="1"/>
  </cols>
  <sheetData>
    <row r="1" spans="1:6">
      <c r="A1" s="135" t="s">
        <v>132</v>
      </c>
      <c r="B1" s="1" t="s">
        <v>38</v>
      </c>
    </row>
    <row r="2" spans="1:6">
      <c r="A2" s="135" t="s">
        <v>133</v>
      </c>
      <c r="B2" s="1" t="s">
        <v>170</v>
      </c>
    </row>
    <row r="3" spans="1:6">
      <c r="A3" s="135" t="s">
        <v>135</v>
      </c>
      <c r="B3" s="136" t="s">
        <v>136</v>
      </c>
    </row>
    <row r="4" spans="1:6">
      <c r="A4" s="135" t="s">
        <v>137</v>
      </c>
      <c r="B4" s="136" t="s">
        <v>149</v>
      </c>
    </row>
    <row r="5" spans="1:6">
      <c r="A5" s="135" t="s">
        <v>139</v>
      </c>
      <c r="B5" s="140" t="s">
        <v>150</v>
      </c>
    </row>
    <row r="7" spans="1:6">
      <c r="A7" s="1" t="s">
        <v>171</v>
      </c>
    </row>
    <row r="8" spans="1:6">
      <c r="A8" s="1" t="s">
        <v>35</v>
      </c>
    </row>
    <row r="9" spans="1:6" ht="29.65" customHeight="1">
      <c r="A9" s="507" t="s">
        <v>36</v>
      </c>
      <c r="B9" s="507"/>
      <c r="C9" s="507"/>
      <c r="D9" s="507"/>
      <c r="E9" s="507"/>
      <c r="F9" s="507"/>
    </row>
    <row r="10" spans="1:6">
      <c r="A10" s="1" t="s">
        <v>37</v>
      </c>
    </row>
    <row r="12" spans="1:6">
      <c r="A12" s="1" t="s">
        <v>155</v>
      </c>
    </row>
    <row r="13" spans="1:6">
      <c r="A13" s="188" t="s">
        <v>172</v>
      </c>
    </row>
    <row r="15" spans="1:6">
      <c r="A15" s="188" t="s">
        <v>173</v>
      </c>
    </row>
    <row r="16" spans="1:6">
      <c r="A16" s="1" t="s">
        <v>174</v>
      </c>
    </row>
    <row r="18" spans="1:1">
      <c r="A18" s="266"/>
    </row>
  </sheetData>
  <mergeCells count="1">
    <mergeCell ref="A9:F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DFCC3-6154-4D53-80DA-D7C869CEBE86}">
  <dimension ref="A1:V116"/>
  <sheetViews>
    <sheetView zoomScale="90" zoomScaleNormal="90" workbookViewId="0"/>
  </sheetViews>
  <sheetFormatPr defaultColWidth="8.7265625" defaultRowHeight="14.5"/>
  <cols>
    <col min="1" max="1" width="9.453125" style="1" bestFit="1" customWidth="1"/>
    <col min="2" max="2" width="10.7265625" style="1" customWidth="1"/>
    <col min="3" max="3" width="26.7265625" style="1" customWidth="1"/>
    <col min="4" max="4" width="21.26953125" style="1" bestFit="1" customWidth="1"/>
    <col min="5" max="5" width="21.453125" style="1" bestFit="1" customWidth="1"/>
    <col min="6" max="6" width="13.7265625" style="1" bestFit="1" customWidth="1"/>
    <col min="7" max="7" width="18.7265625" style="1" bestFit="1" customWidth="1"/>
    <col min="8" max="8" width="18.453125" style="1" customWidth="1"/>
    <col min="9" max="9" width="19" style="1" customWidth="1"/>
    <col min="10" max="10" width="16" style="1" customWidth="1"/>
    <col min="11" max="11" width="15.7265625" style="1" customWidth="1"/>
    <col min="12" max="12" width="17.453125" style="1" customWidth="1"/>
    <col min="13" max="13" width="22.26953125" style="1" customWidth="1"/>
    <col min="14" max="16384" width="8.7265625" style="1"/>
  </cols>
  <sheetData>
    <row r="1" spans="1:22">
      <c r="A1" s="135" t="s">
        <v>132</v>
      </c>
      <c r="B1" s="1" t="s">
        <v>39</v>
      </c>
      <c r="D1" s="57"/>
    </row>
    <row r="2" spans="1:22">
      <c r="A2" s="135" t="s">
        <v>133</v>
      </c>
      <c r="B2" s="1" t="s">
        <v>175</v>
      </c>
      <c r="D2" s="57"/>
    </row>
    <row r="3" spans="1:22">
      <c r="A3" s="135" t="s">
        <v>135</v>
      </c>
      <c r="B3" s="136" t="s">
        <v>136</v>
      </c>
    </row>
    <row r="4" spans="1:22">
      <c r="A4" s="135" t="s">
        <v>137</v>
      </c>
      <c r="B4" s="1" t="s">
        <v>176</v>
      </c>
    </row>
    <row r="5" spans="1:22">
      <c r="A5" s="135" t="s">
        <v>139</v>
      </c>
      <c r="B5" s="1" t="s">
        <v>177</v>
      </c>
    </row>
    <row r="6" spans="1:22">
      <c r="A6" s="135"/>
      <c r="B6" s="1" t="s">
        <v>178</v>
      </c>
    </row>
    <row r="7" spans="1:22" ht="15" thickBot="1"/>
    <row r="8" spans="1:22">
      <c r="A8" s="28"/>
      <c r="B8" s="17" t="s">
        <v>39</v>
      </c>
      <c r="C8" s="17"/>
      <c r="D8" s="17"/>
      <c r="E8" s="17"/>
      <c r="F8" s="17"/>
      <c r="G8" s="17"/>
      <c r="H8" s="17"/>
      <c r="I8" s="17"/>
      <c r="J8" s="17"/>
      <c r="K8" s="17"/>
      <c r="L8" s="17"/>
      <c r="M8" s="17"/>
      <c r="N8" s="18"/>
    </row>
    <row r="9" spans="1:22">
      <c r="A9" s="23"/>
      <c r="N9" s="20"/>
    </row>
    <row r="10" spans="1:22" s="187" customFormat="1" ht="15" customHeight="1">
      <c r="A10" s="189"/>
      <c r="C10" s="190" t="s">
        <v>41</v>
      </c>
      <c r="D10" s="191">
        <v>0.02</v>
      </c>
      <c r="E10" s="137"/>
      <c r="I10" s="192"/>
      <c r="J10" s="193" t="s">
        <v>42</v>
      </c>
      <c r="K10" s="194"/>
      <c r="L10" s="194"/>
      <c r="M10" s="195"/>
      <c r="N10" s="196"/>
    </row>
    <row r="11" spans="1:22" s="187" customFormat="1" ht="15" customHeight="1">
      <c r="A11" s="189"/>
      <c r="C11" s="197" t="s">
        <v>43</v>
      </c>
      <c r="D11" s="198">
        <v>0.03</v>
      </c>
      <c r="E11" s="137"/>
      <c r="I11" s="199" t="s">
        <v>44</v>
      </c>
      <c r="J11" s="200">
        <v>12</v>
      </c>
      <c r="K11" s="201">
        <v>24</v>
      </c>
      <c r="L11" s="201">
        <v>36</v>
      </c>
      <c r="M11" s="202">
        <v>48</v>
      </c>
      <c r="N11" s="196"/>
    </row>
    <row r="12" spans="1:22" s="187" customFormat="1" ht="15" customHeight="1">
      <c r="A12" s="189"/>
      <c r="C12" s="197" t="s">
        <v>45</v>
      </c>
      <c r="D12" s="198">
        <v>0.01</v>
      </c>
      <c r="E12" s="137"/>
      <c r="I12" s="203">
        <v>2018</v>
      </c>
      <c r="J12" s="204"/>
      <c r="K12" s="205"/>
      <c r="L12" s="205">
        <v>13569999.999999998</v>
      </c>
      <c r="M12" s="206">
        <v>14696999.999999998</v>
      </c>
      <c r="N12" s="196"/>
      <c r="O12" s="207"/>
      <c r="P12" s="207"/>
      <c r="Q12" s="207"/>
      <c r="R12" s="207"/>
      <c r="S12" s="207"/>
      <c r="T12" s="207"/>
      <c r="U12" s="207"/>
      <c r="V12" s="207"/>
    </row>
    <row r="13" spans="1:22" s="187" customFormat="1" ht="15" customHeight="1">
      <c r="A13" s="189"/>
      <c r="C13" s="197" t="s">
        <v>46</v>
      </c>
      <c r="D13" s="198">
        <v>0.04</v>
      </c>
      <c r="E13" s="137"/>
      <c r="I13" s="208">
        <v>2019</v>
      </c>
      <c r="J13" s="209"/>
      <c r="K13" s="210">
        <v>9401250</v>
      </c>
      <c r="L13" s="210">
        <v>10074000</v>
      </c>
      <c r="M13" s="211">
        <v>10810000</v>
      </c>
      <c r="N13" s="196"/>
      <c r="O13" s="207"/>
      <c r="P13" s="207"/>
      <c r="Q13" s="207"/>
      <c r="R13" s="207"/>
      <c r="S13" s="207"/>
      <c r="T13" s="207"/>
      <c r="U13" s="207"/>
      <c r="V13" s="207"/>
    </row>
    <row r="14" spans="1:22" s="187" customFormat="1" ht="15" customHeight="1">
      <c r="A14" s="189"/>
      <c r="C14" s="197" t="s">
        <v>31</v>
      </c>
      <c r="D14" s="198">
        <v>0.06</v>
      </c>
      <c r="E14" s="137"/>
      <c r="I14" s="208">
        <v>2020</v>
      </c>
      <c r="J14" s="209">
        <v>11608675</v>
      </c>
      <c r="K14" s="210">
        <v>15977812.499999998</v>
      </c>
      <c r="L14" s="210">
        <v>16818750</v>
      </c>
      <c r="M14" s="211">
        <v>17252300</v>
      </c>
      <c r="N14" s="196"/>
      <c r="O14" s="207"/>
      <c r="P14" s="207"/>
      <c r="Q14" s="207"/>
      <c r="R14" s="207"/>
      <c r="S14" s="207"/>
      <c r="T14" s="207"/>
      <c r="U14" s="207"/>
      <c r="V14" s="207"/>
    </row>
    <row r="15" spans="1:22" s="187" customFormat="1" ht="15" customHeight="1">
      <c r="A15" s="189"/>
      <c r="C15" s="212" t="s">
        <v>47</v>
      </c>
      <c r="D15" s="213">
        <v>1.1100000000000001</v>
      </c>
      <c r="E15" s="137"/>
      <c r="I15" s="208">
        <v>2021</v>
      </c>
      <c r="J15" s="209">
        <v>9224725</v>
      </c>
      <c r="K15" s="210">
        <v>12773624.999999998</v>
      </c>
      <c r="L15" s="210">
        <v>13512499.999999998</v>
      </c>
      <c r="M15" s="214"/>
      <c r="N15" s="196"/>
      <c r="O15" s="207"/>
      <c r="P15" s="207"/>
      <c r="Q15" s="207"/>
      <c r="R15" s="207"/>
      <c r="S15" s="207"/>
      <c r="T15" s="207"/>
      <c r="U15" s="207"/>
      <c r="V15" s="207"/>
    </row>
    <row r="16" spans="1:22" s="187" customFormat="1" ht="15" customHeight="1">
      <c r="A16" s="189"/>
      <c r="E16" s="137"/>
      <c r="I16" s="208">
        <v>2022</v>
      </c>
      <c r="J16" s="209">
        <v>8110949.9999999991</v>
      </c>
      <c r="K16" s="210">
        <v>11299468.75</v>
      </c>
      <c r="L16" s="215"/>
      <c r="M16" s="214"/>
      <c r="N16" s="196"/>
      <c r="O16" s="207"/>
      <c r="P16" s="207"/>
      <c r="Q16" s="207"/>
      <c r="R16" s="207"/>
      <c r="S16" s="207"/>
      <c r="T16" s="207"/>
      <c r="U16" s="207"/>
      <c r="V16" s="207"/>
    </row>
    <row r="17" spans="1:22" s="187" customFormat="1" ht="15" customHeight="1">
      <c r="A17" s="189"/>
      <c r="C17" s="216" t="s">
        <v>48</v>
      </c>
      <c r="D17" s="217" t="s">
        <v>49</v>
      </c>
      <c r="E17" s="218" t="s">
        <v>50</v>
      </c>
      <c r="I17" s="199">
        <v>2023</v>
      </c>
      <c r="J17" s="219">
        <v>8763000</v>
      </c>
      <c r="K17" s="220"/>
      <c r="L17" s="220"/>
      <c r="M17" s="221"/>
      <c r="N17" s="196"/>
      <c r="O17" s="207"/>
      <c r="P17" s="207"/>
      <c r="Q17" s="207"/>
      <c r="R17" s="207"/>
      <c r="S17" s="207"/>
      <c r="T17" s="207"/>
      <c r="U17" s="207"/>
      <c r="V17" s="207"/>
    </row>
    <row r="18" spans="1:22" s="187" customFormat="1" ht="15" customHeight="1">
      <c r="A18" s="189"/>
      <c r="C18" s="222" t="s">
        <v>51</v>
      </c>
      <c r="D18" s="223">
        <v>4185000</v>
      </c>
      <c r="E18" s="224">
        <v>1</v>
      </c>
      <c r="I18" s="137"/>
      <c r="J18" s="137"/>
      <c r="K18" s="137"/>
      <c r="L18" s="137"/>
      <c r="M18" s="137"/>
      <c r="N18" s="196"/>
    </row>
    <row r="19" spans="1:22" s="187" customFormat="1" ht="15" customHeight="1">
      <c r="A19" s="189"/>
      <c r="C19" s="225" t="s">
        <v>52</v>
      </c>
      <c r="D19" s="226">
        <v>1564000</v>
      </c>
      <c r="E19" s="227">
        <v>1</v>
      </c>
      <c r="I19" s="192"/>
      <c r="J19" s="193" t="s">
        <v>53</v>
      </c>
      <c r="K19" s="194"/>
      <c r="L19" s="194"/>
      <c r="M19" s="195"/>
      <c r="N19" s="196"/>
    </row>
    <row r="20" spans="1:22" s="187" customFormat="1" ht="15" customHeight="1">
      <c r="A20" s="189"/>
      <c r="C20" s="225" t="s">
        <v>54</v>
      </c>
      <c r="D20" s="226">
        <v>7256000</v>
      </c>
      <c r="E20" s="227">
        <v>0</v>
      </c>
      <c r="I20" s="199" t="s">
        <v>44</v>
      </c>
      <c r="J20" s="200">
        <v>12</v>
      </c>
      <c r="K20" s="201">
        <v>24</v>
      </c>
      <c r="L20" s="201">
        <v>36</v>
      </c>
      <c r="M20" s="202">
        <v>48</v>
      </c>
      <c r="N20" s="196"/>
    </row>
    <row r="21" spans="1:22" s="187" customFormat="1" ht="15" customHeight="1">
      <c r="A21" s="189"/>
      <c r="C21" s="228" t="s">
        <v>55</v>
      </c>
      <c r="D21" s="229">
        <v>2000500</v>
      </c>
      <c r="E21" s="230">
        <v>0</v>
      </c>
      <c r="I21" s="203">
        <v>2018</v>
      </c>
      <c r="J21" s="231"/>
      <c r="K21" s="232"/>
      <c r="L21" s="205">
        <v>46</v>
      </c>
      <c r="M21" s="206">
        <v>0</v>
      </c>
      <c r="N21" s="196"/>
    </row>
    <row r="22" spans="1:22" s="187" customFormat="1" ht="15" customHeight="1">
      <c r="A22" s="189"/>
      <c r="C22" s="137"/>
      <c r="D22" s="137"/>
      <c r="E22" s="137"/>
      <c r="I22" s="208">
        <v>2019</v>
      </c>
      <c r="J22" s="233"/>
      <c r="K22" s="215">
        <v>61</v>
      </c>
      <c r="L22" s="210">
        <v>28</v>
      </c>
      <c r="M22" s="234">
        <v>0</v>
      </c>
      <c r="N22" s="196"/>
    </row>
    <row r="23" spans="1:22" s="187" customFormat="1" ht="15" customHeight="1">
      <c r="A23" s="189"/>
      <c r="D23" s="235" t="s">
        <v>56</v>
      </c>
      <c r="E23" s="236"/>
      <c r="F23" s="237"/>
      <c r="G23" s="238"/>
      <c r="I23" s="208">
        <v>2020</v>
      </c>
      <c r="J23" s="233">
        <v>352</v>
      </c>
      <c r="K23" s="215">
        <v>51</v>
      </c>
      <c r="L23" s="210">
        <v>42</v>
      </c>
      <c r="M23" s="239">
        <v>0</v>
      </c>
      <c r="N23" s="196"/>
    </row>
    <row r="24" spans="1:22" s="187" customFormat="1" ht="15" customHeight="1">
      <c r="A24" s="189"/>
      <c r="C24" s="240"/>
      <c r="D24" s="217">
        <v>2021</v>
      </c>
      <c r="E24" s="217">
        <v>2022</v>
      </c>
      <c r="F24" s="217">
        <v>2023</v>
      </c>
      <c r="G24" s="217" t="s">
        <v>49</v>
      </c>
      <c r="I24" s="208">
        <v>2021</v>
      </c>
      <c r="J24" s="233">
        <v>451</v>
      </c>
      <c r="K24" s="215">
        <v>68</v>
      </c>
      <c r="L24" s="210">
        <v>33</v>
      </c>
      <c r="M24" s="214"/>
      <c r="N24" s="196"/>
    </row>
    <row r="25" spans="1:22" s="187" customFormat="1" ht="15" customHeight="1">
      <c r="A25" s="189"/>
      <c r="C25" s="216" t="s">
        <v>25</v>
      </c>
      <c r="D25" s="241">
        <v>19650000</v>
      </c>
      <c r="E25" s="241">
        <v>20470000</v>
      </c>
      <c r="F25" s="241">
        <v>22986000</v>
      </c>
      <c r="G25" s="241">
        <f>D25+E25+F25</f>
        <v>63106000</v>
      </c>
      <c r="I25" s="208">
        <v>2022</v>
      </c>
      <c r="J25" s="233">
        <v>325</v>
      </c>
      <c r="K25" s="215">
        <v>55</v>
      </c>
      <c r="L25" s="215"/>
      <c r="M25" s="214"/>
      <c r="N25" s="196"/>
    </row>
    <row r="26" spans="1:22" s="187" customFormat="1" ht="15" customHeight="1">
      <c r="A26" s="189"/>
      <c r="C26" s="242" t="s">
        <v>57</v>
      </c>
      <c r="D26" s="243">
        <v>3200</v>
      </c>
      <c r="E26" s="243">
        <v>3350</v>
      </c>
      <c r="F26" s="243">
        <v>3510</v>
      </c>
      <c r="G26" s="243">
        <f>D26+E26+F26</f>
        <v>10060</v>
      </c>
      <c r="I26" s="199">
        <v>2023</v>
      </c>
      <c r="J26" s="244">
        <v>385</v>
      </c>
      <c r="K26" s="220"/>
      <c r="L26" s="220"/>
      <c r="M26" s="221"/>
      <c r="N26" s="196"/>
    </row>
    <row r="27" spans="1:22" s="187" customFormat="1" ht="15" customHeight="1">
      <c r="A27" s="189"/>
      <c r="C27" s="242" t="s">
        <v>24</v>
      </c>
      <c r="D27" s="243">
        <v>17905000</v>
      </c>
      <c r="E27" s="243">
        <v>19650000</v>
      </c>
      <c r="F27" s="243">
        <v>20450000</v>
      </c>
      <c r="G27" s="243">
        <f>D27+E27+F27</f>
        <v>58005000</v>
      </c>
      <c r="N27" s="196"/>
    </row>
    <row r="28" spans="1:22" s="187" customFormat="1" ht="15" customHeight="1">
      <c r="A28" s="189"/>
      <c r="C28" s="245" t="s">
        <v>58</v>
      </c>
      <c r="D28" s="246">
        <v>3100</v>
      </c>
      <c r="E28" s="246">
        <v>3275</v>
      </c>
      <c r="F28" s="246">
        <v>3495</v>
      </c>
      <c r="G28" s="246">
        <f>D28+E28+F28</f>
        <v>9870</v>
      </c>
      <c r="I28" s="247"/>
      <c r="J28" s="248" t="s">
        <v>59</v>
      </c>
      <c r="K28" s="249"/>
      <c r="L28" s="250"/>
      <c r="M28" s="250" t="s">
        <v>60</v>
      </c>
      <c r="N28" s="196"/>
    </row>
    <row r="29" spans="1:22" s="187" customFormat="1" ht="15" customHeight="1">
      <c r="A29" s="189"/>
      <c r="I29" s="199" t="s">
        <v>44</v>
      </c>
      <c r="J29" s="202" t="s">
        <v>61</v>
      </c>
      <c r="L29" s="199" t="s">
        <v>44</v>
      </c>
      <c r="M29" s="208" t="s">
        <v>62</v>
      </c>
      <c r="N29" s="196"/>
    </row>
    <row r="30" spans="1:22" s="187" customFormat="1" ht="15" customHeight="1">
      <c r="A30" s="189"/>
      <c r="H30" s="249"/>
      <c r="I30" s="251" t="s">
        <v>63</v>
      </c>
      <c r="J30" s="241">
        <v>6900</v>
      </c>
      <c r="L30" s="252">
        <v>2023</v>
      </c>
      <c r="M30" s="253">
        <v>14223000</v>
      </c>
      <c r="N30" s="196"/>
    </row>
    <row r="31" spans="1:22" s="187" customFormat="1">
      <c r="A31" s="189"/>
      <c r="C31" s="254" t="s">
        <v>64</v>
      </c>
      <c r="G31" s="255"/>
      <c r="I31" s="251" t="s">
        <v>65</v>
      </c>
      <c r="J31" s="243">
        <v>8700</v>
      </c>
      <c r="L31" s="252">
        <v>2022</v>
      </c>
      <c r="M31" s="256">
        <v>13056000</v>
      </c>
      <c r="N31" s="196"/>
    </row>
    <row r="32" spans="1:22" s="187" customFormat="1" ht="15" customHeight="1">
      <c r="A32" s="189"/>
      <c r="C32" s="254" t="s">
        <v>66</v>
      </c>
      <c r="D32" s="249"/>
      <c r="E32" s="137"/>
      <c r="I32" s="257" t="s">
        <v>67</v>
      </c>
      <c r="J32" s="246">
        <v>9800</v>
      </c>
      <c r="L32" s="200">
        <v>2021</v>
      </c>
      <c r="M32" s="258">
        <v>13980000</v>
      </c>
      <c r="N32" s="196"/>
      <c r="O32" s="259"/>
    </row>
    <row r="33" spans="1:15" s="187" customFormat="1" ht="15" customHeight="1">
      <c r="A33" s="189"/>
      <c r="C33" s="254" t="s">
        <v>68</v>
      </c>
      <c r="D33" s="249"/>
      <c r="E33" s="137"/>
      <c r="N33" s="196"/>
      <c r="O33" s="259"/>
    </row>
    <row r="34" spans="1:15" s="187" customFormat="1" ht="15" customHeight="1">
      <c r="A34" s="189"/>
      <c r="C34" s="260" t="s">
        <v>69</v>
      </c>
      <c r="D34" s="249"/>
      <c r="E34" s="137"/>
      <c r="N34" s="196"/>
      <c r="O34" s="259"/>
    </row>
    <row r="35" spans="1:15" s="187" customFormat="1" ht="15" customHeight="1">
      <c r="A35" s="189"/>
      <c r="C35" s="260" t="s">
        <v>70</v>
      </c>
      <c r="D35" s="249"/>
      <c r="E35" s="137"/>
      <c r="N35" s="196"/>
    </row>
    <row r="36" spans="1:15" s="187" customFormat="1">
      <c r="A36" s="189"/>
      <c r="C36" s="260" t="s">
        <v>71</v>
      </c>
      <c r="D36" s="249"/>
      <c r="E36" s="137"/>
      <c r="N36" s="196"/>
    </row>
    <row r="37" spans="1:15" s="187" customFormat="1" ht="15" customHeight="1">
      <c r="A37" s="189"/>
      <c r="C37" s="260" t="s">
        <v>72</v>
      </c>
      <c r="D37" s="249"/>
      <c r="E37" s="137"/>
      <c r="J37" s="1"/>
      <c r="N37" s="196"/>
    </row>
    <row r="38" spans="1:15" s="187" customFormat="1" ht="15" customHeight="1">
      <c r="A38" s="189"/>
      <c r="D38" s="249"/>
      <c r="E38" s="137"/>
      <c r="J38" s="1"/>
      <c r="N38" s="196"/>
    </row>
    <row r="39" spans="1:15" s="187" customFormat="1" ht="15" customHeight="1">
      <c r="A39" s="189"/>
      <c r="C39" s="1" t="s">
        <v>73</v>
      </c>
      <c r="D39" s="249"/>
      <c r="E39" s="137"/>
      <c r="J39" s="1"/>
      <c r="K39" s="1"/>
      <c r="N39" s="196"/>
    </row>
    <row r="40" spans="1:15" s="187" customFormat="1" ht="15" customHeight="1" thickBot="1">
      <c r="A40" s="261"/>
      <c r="B40" s="262"/>
      <c r="C40" s="26"/>
      <c r="D40" s="127"/>
      <c r="E40" s="127"/>
      <c r="F40" s="262"/>
      <c r="G40" s="262"/>
      <c r="H40" s="127"/>
      <c r="I40" s="127"/>
      <c r="J40" s="127"/>
      <c r="K40" s="262"/>
      <c r="L40" s="262"/>
      <c r="M40" s="262"/>
      <c r="N40" s="263"/>
    </row>
    <row r="41" spans="1:15" s="187" customFormat="1" ht="15" customHeight="1">
      <c r="B41" s="264"/>
      <c r="C41" s="504" t="s">
        <v>179</v>
      </c>
      <c r="D41" s="265"/>
      <c r="E41" s="142"/>
      <c r="F41" s="146"/>
    </row>
    <row r="42" spans="1:15" s="187" customFormat="1" ht="15" customHeight="1">
      <c r="A42" s="266"/>
      <c r="B42" s="419" t="s">
        <v>155</v>
      </c>
      <c r="C42" s="142"/>
      <c r="D42" s="142"/>
      <c r="E42" s="142"/>
      <c r="F42" s="142"/>
      <c r="G42" s="142"/>
      <c r="H42" s="145"/>
      <c r="I42" s="142"/>
      <c r="J42" s="142"/>
    </row>
    <row r="43" spans="1:15" s="266" customFormat="1" ht="15" customHeight="1">
      <c r="C43" s="1"/>
      <c r="D43" s="1"/>
      <c r="E43" s="1"/>
      <c r="F43" s="1"/>
      <c r="G43" s="1"/>
      <c r="H43" s="1"/>
      <c r="I43" s="267"/>
      <c r="J43" s="267"/>
      <c r="K43" s="187"/>
    </row>
    <row r="44" spans="1:15" s="266" customFormat="1" ht="15" customHeight="1">
      <c r="C44" s="1" t="s">
        <v>180</v>
      </c>
      <c r="D44" s="268" t="s">
        <v>181</v>
      </c>
      <c r="E44" s="1"/>
      <c r="F44" s="1"/>
      <c r="G44" s="1"/>
      <c r="H44" s="1"/>
      <c r="I44" s="267"/>
      <c r="J44" s="267"/>
      <c r="K44" s="187"/>
    </row>
    <row r="45" spans="1:15" s="266" customFormat="1" ht="15" customHeight="1">
      <c r="C45" s="1"/>
      <c r="D45" s="1"/>
      <c r="E45" s="1"/>
      <c r="F45" s="1"/>
      <c r="G45" s="1"/>
      <c r="H45" s="1"/>
      <c r="I45" s="267"/>
      <c r="J45" s="267"/>
      <c r="K45" s="187"/>
    </row>
    <row r="46" spans="1:15" s="266" customFormat="1" ht="15" customHeight="1">
      <c r="C46" s="129"/>
      <c r="D46" s="1"/>
      <c r="E46" s="1"/>
      <c r="F46" s="1"/>
      <c r="G46" s="1"/>
      <c r="H46" s="1"/>
      <c r="I46" s="267"/>
      <c r="J46" s="267"/>
      <c r="K46" s="187"/>
    </row>
    <row r="47" spans="1:15" s="266" customFormat="1" ht="15" customHeight="1">
      <c r="C47" s="1" t="s">
        <v>182</v>
      </c>
      <c r="D47" s="129"/>
      <c r="E47" s="129"/>
      <c r="F47" s="1"/>
      <c r="G47" s="1"/>
      <c r="H47" s="1"/>
      <c r="I47" s="267"/>
      <c r="J47" s="267"/>
      <c r="K47" s="187"/>
    </row>
    <row r="48" spans="1:15" s="266" customFormat="1" ht="15" customHeight="1">
      <c r="C48" s="1"/>
      <c r="D48" s="1" t="s">
        <v>183</v>
      </c>
      <c r="E48" s="1"/>
      <c r="F48" s="1"/>
      <c r="G48" s="1"/>
      <c r="H48" s="1"/>
      <c r="I48" s="1"/>
      <c r="J48" s="267"/>
      <c r="K48" s="187"/>
    </row>
    <row r="49" spans="3:11" s="266" customFormat="1" ht="15" customHeight="1">
      <c r="C49" s="36" t="s">
        <v>44</v>
      </c>
      <c r="D49" s="36">
        <v>12</v>
      </c>
      <c r="E49" s="36">
        <v>24</v>
      </c>
      <c r="F49" s="36">
        <v>36</v>
      </c>
      <c r="G49" s="1">
        <v>48</v>
      </c>
      <c r="H49" s="1"/>
      <c r="I49" s="1"/>
      <c r="J49" s="267"/>
      <c r="K49" s="187"/>
    </row>
    <row r="50" spans="3:11" s="266" customFormat="1" ht="15" customHeight="1">
      <c r="C50" s="249">
        <v>2018</v>
      </c>
      <c r="D50" s="269"/>
      <c r="E50" s="269"/>
      <c r="F50" s="269">
        <f>F51/(1+D13)</f>
        <v>8712.1643149749652</v>
      </c>
      <c r="G50" s="270">
        <v>0</v>
      </c>
      <c r="H50" s="1"/>
      <c r="I50" s="1"/>
      <c r="J50" s="267"/>
      <c r="K50" s="187"/>
    </row>
    <row r="51" spans="3:11" s="266" customFormat="1" ht="15" customHeight="1">
      <c r="C51" s="249">
        <v>2019</v>
      </c>
      <c r="D51" s="269"/>
      <c r="E51" s="269">
        <f>E52/(1+D13)</f>
        <v>7734.2683204369587</v>
      </c>
      <c r="F51" s="269">
        <f>F52/(1+D13)</f>
        <v>9060.6508875739637</v>
      </c>
      <c r="G51" s="270">
        <v>0</v>
      </c>
      <c r="H51" s="1"/>
      <c r="I51" s="1"/>
      <c r="J51" s="267"/>
      <c r="K51" s="187"/>
    </row>
    <row r="52" spans="3:11" s="266" customFormat="1" ht="15" customHeight="1">
      <c r="C52" s="249">
        <v>2020</v>
      </c>
      <c r="D52" s="269">
        <f>D53/(1+D13)</f>
        <v>6134.0748748293126</v>
      </c>
      <c r="E52" s="269">
        <f>E53/(1+D13)</f>
        <v>8043.6390532544374</v>
      </c>
      <c r="F52" s="269">
        <f>F53/(1+D13)</f>
        <v>9423.076923076922</v>
      </c>
      <c r="G52" s="270">
        <v>0</v>
      </c>
      <c r="H52" s="1"/>
      <c r="I52" s="1"/>
      <c r="J52" s="267"/>
      <c r="K52" s="187"/>
    </row>
    <row r="53" spans="3:11" s="266" customFormat="1" ht="15" customHeight="1">
      <c r="C53" s="249">
        <v>2021</v>
      </c>
      <c r="D53" s="269">
        <f>D54/(1+D13)</f>
        <v>6379.4378698224855</v>
      </c>
      <c r="E53" s="269">
        <f>E54/(1+D13)</f>
        <v>8365.3846153846152</v>
      </c>
      <c r="F53" s="269">
        <f>J32</f>
        <v>9800</v>
      </c>
      <c r="G53" s="1"/>
      <c r="H53" s="1"/>
      <c r="I53" s="1"/>
      <c r="J53" s="267"/>
      <c r="K53" s="187"/>
    </row>
    <row r="54" spans="3:11" s="266" customFormat="1" ht="15" customHeight="1">
      <c r="C54" s="249">
        <v>2022</v>
      </c>
      <c r="D54" s="269">
        <f>D55/(1+D13)</f>
        <v>6634.6153846153848</v>
      </c>
      <c r="E54" s="269">
        <f>J31</f>
        <v>8700</v>
      </c>
      <c r="F54" s="36"/>
      <c r="G54" s="1"/>
      <c r="H54" s="1"/>
      <c r="I54" s="1"/>
      <c r="J54" s="267"/>
      <c r="K54" s="187"/>
    </row>
    <row r="55" spans="3:11" s="266" customFormat="1" ht="15" customHeight="1">
      <c r="C55" s="249">
        <v>2023</v>
      </c>
      <c r="D55" s="269">
        <f>J30</f>
        <v>6900</v>
      </c>
      <c r="E55" s="36"/>
      <c r="F55" s="36"/>
      <c r="G55" s="1"/>
      <c r="H55" s="1"/>
      <c r="I55" s="1"/>
      <c r="J55" s="267"/>
      <c r="K55" s="187"/>
    </row>
    <row r="56" spans="3:11" s="266" customFormat="1" ht="15" customHeight="1">
      <c r="C56" s="1"/>
      <c r="D56" s="1"/>
      <c r="E56" s="1"/>
      <c r="F56" s="1"/>
      <c r="G56" s="1"/>
      <c r="H56" s="1"/>
      <c r="I56" s="1"/>
      <c r="J56" s="1"/>
      <c r="K56" s="187"/>
    </row>
    <row r="57" spans="3:11" s="266" customFormat="1" ht="15" customHeight="1">
      <c r="C57" s="1" t="s">
        <v>184</v>
      </c>
      <c r="D57" s="1"/>
      <c r="E57" s="129"/>
      <c r="F57" s="1"/>
      <c r="G57" s="1"/>
      <c r="H57" s="1"/>
      <c r="I57" s="1"/>
      <c r="J57" s="1"/>
      <c r="K57" s="187"/>
    </row>
    <row r="58" spans="3:11" s="266" customFormat="1" ht="15" customHeight="1">
      <c r="C58" s="1"/>
      <c r="D58" s="1" t="s">
        <v>183</v>
      </c>
      <c r="E58" s="1"/>
      <c r="F58" s="1"/>
      <c r="G58" s="1"/>
      <c r="H58" s="1"/>
      <c r="I58" s="1"/>
      <c r="J58" s="1"/>
      <c r="K58" s="187"/>
    </row>
    <row r="59" spans="3:11" s="266" customFormat="1" ht="15" customHeight="1">
      <c r="C59" s="36" t="s">
        <v>44</v>
      </c>
      <c r="D59" s="36">
        <v>12</v>
      </c>
      <c r="E59" s="36">
        <v>24</v>
      </c>
      <c r="F59" s="36">
        <v>36</v>
      </c>
      <c r="G59" s="36">
        <v>48</v>
      </c>
      <c r="H59" s="1"/>
      <c r="I59" s="1"/>
      <c r="J59" s="1"/>
      <c r="K59" s="187"/>
    </row>
    <row r="60" spans="3:11" s="266" customFormat="1" ht="15" customHeight="1">
      <c r="C60" s="249">
        <v>2018</v>
      </c>
      <c r="D60" s="269"/>
      <c r="E60" s="269"/>
      <c r="F60" s="269">
        <f t="shared" ref="F60:G62" si="0">L12+L21*F50</f>
        <v>13970759.558488846</v>
      </c>
      <c r="G60" s="269">
        <f t="shared" si="0"/>
        <v>14696999.999999998</v>
      </c>
      <c r="H60" s="1"/>
      <c r="I60" s="1"/>
      <c r="J60" s="1"/>
      <c r="K60" s="187"/>
    </row>
    <row r="61" spans="3:11" s="266" customFormat="1" ht="15" customHeight="1">
      <c r="C61" s="249">
        <v>2019</v>
      </c>
      <c r="D61" s="269"/>
      <c r="E61" s="269">
        <f>K13+K22*E51</f>
        <v>9873040.3675466552</v>
      </c>
      <c r="F61" s="269">
        <f t="shared" si="0"/>
        <v>10327698.22485207</v>
      </c>
      <c r="G61" s="269">
        <f t="shared" si="0"/>
        <v>10810000</v>
      </c>
      <c r="H61" s="1"/>
      <c r="I61" s="1"/>
      <c r="J61" s="1"/>
      <c r="K61" s="187"/>
    </row>
    <row r="62" spans="3:11" s="266" customFormat="1" ht="15" customHeight="1">
      <c r="C62" s="249">
        <v>2020</v>
      </c>
      <c r="D62" s="269">
        <f>J14+J23*D52</f>
        <v>13767869.355939917</v>
      </c>
      <c r="E62" s="269">
        <f>K14+K23*E52</f>
        <v>16388038.091715975</v>
      </c>
      <c r="F62" s="269">
        <f t="shared" si="0"/>
        <v>17214519.230769232</v>
      </c>
      <c r="G62" s="269">
        <f t="shared" si="0"/>
        <v>17252300</v>
      </c>
      <c r="H62" s="1"/>
      <c r="I62" s="1"/>
      <c r="J62" s="1"/>
      <c r="K62" s="271"/>
    </row>
    <row r="63" spans="3:11" s="266" customFormat="1" ht="15" customHeight="1">
      <c r="C63" s="249">
        <v>2021</v>
      </c>
      <c r="D63" s="269">
        <f>J15+J24*D53</f>
        <v>12101851.479289941</v>
      </c>
      <c r="E63" s="269">
        <f>K15+K24*E53</f>
        <v>13342471.153846152</v>
      </c>
      <c r="F63" s="269">
        <f>L15+L24*F53</f>
        <v>13835899.999999998</v>
      </c>
      <c r="G63" s="249"/>
      <c r="H63" s="1"/>
      <c r="I63" s="1"/>
      <c r="J63" s="1"/>
      <c r="K63" s="187"/>
    </row>
    <row r="64" spans="3:11" s="266" customFormat="1" ht="15" customHeight="1">
      <c r="C64" s="249">
        <v>2022</v>
      </c>
      <c r="D64" s="269">
        <f>J16+J25*D54</f>
        <v>10267200</v>
      </c>
      <c r="E64" s="269">
        <f>K16+K25*E54</f>
        <v>11777968.75</v>
      </c>
      <c r="F64" s="249"/>
      <c r="G64" s="249"/>
      <c r="H64" s="1"/>
      <c r="I64" s="1"/>
      <c r="J64" s="1"/>
      <c r="K64" s="187"/>
    </row>
    <row r="65" spans="2:14" s="266" customFormat="1" ht="15" customHeight="1">
      <c r="C65" s="249">
        <v>2023</v>
      </c>
      <c r="D65" s="269">
        <f>J17+J26*D55</f>
        <v>11419500</v>
      </c>
      <c r="E65" s="249"/>
      <c r="F65" s="249"/>
      <c r="G65" s="249"/>
      <c r="H65" s="1"/>
      <c r="I65" s="1"/>
      <c r="J65" s="1"/>
      <c r="K65" s="187"/>
    </row>
    <row r="66" spans="2:14" s="266" customFormat="1" ht="15" customHeight="1">
      <c r="C66" s="1"/>
      <c r="D66" s="1"/>
      <c r="E66" s="1"/>
      <c r="F66" s="1"/>
      <c r="G66" s="1"/>
      <c r="H66" s="1"/>
      <c r="I66" s="1"/>
      <c r="J66" s="1"/>
      <c r="K66" s="187"/>
    </row>
    <row r="67" spans="2:14" s="266" customFormat="1" ht="15" customHeight="1">
      <c r="C67" s="129"/>
      <c r="D67" s="1" t="s">
        <v>185</v>
      </c>
      <c r="E67" s="272" t="s">
        <v>186</v>
      </c>
      <c r="F67" s="272" t="s">
        <v>187</v>
      </c>
      <c r="G67" s="272" t="s">
        <v>188</v>
      </c>
      <c r="H67" s="1"/>
      <c r="I67" s="1"/>
      <c r="J67" s="1"/>
      <c r="K67" s="187"/>
      <c r="L67" s="272"/>
      <c r="M67" s="272"/>
      <c r="N67" s="272"/>
    </row>
    <row r="68" spans="2:14" s="266" customFormat="1" ht="15" customHeight="1">
      <c r="B68" s="1" t="s">
        <v>189</v>
      </c>
      <c r="D68" s="1">
        <v>2021</v>
      </c>
      <c r="E68" s="273">
        <f>E62/D62</f>
        <v>1.1903104008352339</v>
      </c>
      <c r="F68" s="273">
        <f>F61/E61</f>
        <v>1.046050440429668</v>
      </c>
      <c r="G68" s="273">
        <f>G60/F60</f>
        <v>1.0519828888666169</v>
      </c>
      <c r="H68" s="1"/>
      <c r="I68" s="1"/>
      <c r="J68" s="1"/>
      <c r="K68" s="187"/>
      <c r="L68" s="494"/>
      <c r="M68" s="494"/>
      <c r="N68" s="494"/>
    </row>
    <row r="69" spans="2:14" s="266" customFormat="1" ht="15" customHeight="1">
      <c r="B69" s="1"/>
      <c r="D69" s="1">
        <v>2022</v>
      </c>
      <c r="E69" s="273">
        <f>E63/D63</f>
        <v>1.1025148653228227</v>
      </c>
      <c r="F69" s="273">
        <f>F62/E62</f>
        <v>1.0504319757147158</v>
      </c>
      <c r="G69" s="273">
        <f>G61/F61</f>
        <v>1.0466998323002257</v>
      </c>
      <c r="H69" s="1"/>
      <c r="I69" s="1"/>
      <c r="J69" s="1"/>
      <c r="K69" s="187"/>
      <c r="L69" s="494"/>
      <c r="M69" s="494"/>
      <c r="N69" s="494"/>
    </row>
    <row r="70" spans="2:14" s="266" customFormat="1" ht="15" customHeight="1">
      <c r="B70" s="129"/>
      <c r="D70" s="1">
        <v>2023</v>
      </c>
      <c r="E70" s="273">
        <f>E64/D64</f>
        <v>1.1471451564204458</v>
      </c>
      <c r="F70" s="273">
        <f>F63/E63</f>
        <v>1.0369818184700821</v>
      </c>
      <c r="G70" s="273">
        <f>G62/F62</f>
        <v>1.0021947037105305</v>
      </c>
      <c r="H70" s="1"/>
      <c r="I70" s="1"/>
      <c r="J70" s="1"/>
      <c r="K70" s="187"/>
      <c r="L70" s="494"/>
      <c r="M70" s="494"/>
      <c r="N70" s="494"/>
    </row>
    <row r="71" spans="2:14" s="266" customFormat="1" ht="15" customHeight="1">
      <c r="B71" s="1" t="s">
        <v>190</v>
      </c>
      <c r="D71" s="1" t="s">
        <v>191</v>
      </c>
      <c r="E71" s="273">
        <f>AVERAGE(E68:E70)</f>
        <v>1.1466568075261676</v>
      </c>
      <c r="F71" s="273">
        <f>AVERAGE(F68:F70)</f>
        <v>1.0444880782048218</v>
      </c>
      <c r="G71" s="273">
        <f>AVERAGE(G68:G70)</f>
        <v>1.0336258082924579</v>
      </c>
      <c r="H71" s="129"/>
      <c r="I71" s="1"/>
      <c r="J71" s="1"/>
      <c r="K71" s="187"/>
      <c r="L71" s="494"/>
      <c r="M71" s="494"/>
      <c r="N71" s="494"/>
    </row>
    <row r="72" spans="2:14" s="266" customFormat="1" ht="15" customHeight="1">
      <c r="B72" s="1" t="s">
        <v>192</v>
      </c>
      <c r="D72" s="1"/>
      <c r="E72" s="272" t="s">
        <v>193</v>
      </c>
      <c r="F72" s="272" t="s">
        <v>194</v>
      </c>
      <c r="G72" s="272" t="s">
        <v>195</v>
      </c>
      <c r="H72" s="1"/>
      <c r="I72" s="1"/>
      <c r="J72" s="1"/>
      <c r="K72" s="187"/>
      <c r="L72" s="494"/>
      <c r="M72" s="494"/>
      <c r="N72" s="494"/>
    </row>
    <row r="73" spans="2:14" s="266" customFormat="1" ht="15" customHeight="1">
      <c r="C73" s="1"/>
      <c r="D73" s="1" t="s">
        <v>192</v>
      </c>
      <c r="E73" s="273">
        <f>E71*F71*G71</f>
        <v>1.2379419657272464</v>
      </c>
      <c r="F73" s="273">
        <f>F71*G71</f>
        <v>1.079609834086295</v>
      </c>
      <c r="G73" s="273">
        <f>G71</f>
        <v>1.0336258082924579</v>
      </c>
      <c r="H73" s="1"/>
      <c r="I73" s="1"/>
      <c r="J73" s="1"/>
      <c r="K73" s="187"/>
      <c r="L73" s="494"/>
      <c r="M73" s="494"/>
      <c r="N73" s="494"/>
    </row>
    <row r="75" spans="2:14">
      <c r="B75" s="266"/>
      <c r="C75" s="1" t="s">
        <v>196</v>
      </c>
      <c r="D75" s="268" t="s">
        <v>197</v>
      </c>
      <c r="L75" s="330"/>
      <c r="M75" s="330"/>
      <c r="N75" s="330"/>
    </row>
    <row r="76" spans="2:14">
      <c r="B76" s="266"/>
      <c r="E76" s="1" t="s">
        <v>198</v>
      </c>
      <c r="F76" s="129"/>
      <c r="G76" s="129"/>
      <c r="H76" s="129"/>
      <c r="I76" s="129"/>
    </row>
    <row r="77" spans="2:14">
      <c r="B77" s="266"/>
      <c r="C77" s="1" t="s">
        <v>44</v>
      </c>
      <c r="D77" s="1" t="s">
        <v>199</v>
      </c>
      <c r="E77" s="36" t="s">
        <v>200</v>
      </c>
      <c r="F77" s="36" t="s">
        <v>201</v>
      </c>
      <c r="G77" s="1" t="s">
        <v>202</v>
      </c>
      <c r="H77" s="1" t="s">
        <v>203</v>
      </c>
      <c r="I77" s="1" t="s">
        <v>204</v>
      </c>
    </row>
    <row r="78" spans="2:14">
      <c r="B78" s="266"/>
      <c r="C78" s="1">
        <v>2021</v>
      </c>
      <c r="D78" s="274">
        <f>F63</f>
        <v>13835899.999999998</v>
      </c>
      <c r="E78" s="274">
        <f>M32</f>
        <v>13980000</v>
      </c>
      <c r="F78" s="275">
        <f>G73</f>
        <v>1.0336258082924579</v>
      </c>
      <c r="G78" s="276">
        <f>1-1/F78</f>
        <v>3.2531896961829454E-2</v>
      </c>
      <c r="H78" s="277">
        <f>G78*E78</f>
        <v>454795.91952637577</v>
      </c>
      <c r="I78" s="277">
        <f>D78+H78</f>
        <v>14290695.919526374</v>
      </c>
      <c r="J78" s="278"/>
    </row>
    <row r="79" spans="2:14">
      <c r="B79" s="266"/>
      <c r="C79" s="1">
        <v>2022</v>
      </c>
      <c r="D79" s="274">
        <f>E64</f>
        <v>11777968.75</v>
      </c>
      <c r="E79" s="274">
        <f>M31</f>
        <v>13056000</v>
      </c>
      <c r="F79" s="275">
        <f>F73</f>
        <v>1.079609834086295</v>
      </c>
      <c r="G79" s="276">
        <f t="shared" ref="G79:G80" si="1">1-1/F79</f>
        <v>7.3739448801585894E-2</v>
      </c>
      <c r="H79" s="277">
        <f>G79*E79</f>
        <v>962742.2435535054</v>
      </c>
      <c r="I79" s="277">
        <f t="shared" ref="I79:I80" si="2">D79+H79</f>
        <v>12740710.993553506</v>
      </c>
      <c r="J79" s="278"/>
    </row>
    <row r="80" spans="2:14">
      <c r="B80" s="266"/>
      <c r="C80" s="1">
        <v>2023</v>
      </c>
      <c r="D80" s="274">
        <f>D65</f>
        <v>11419500</v>
      </c>
      <c r="E80" s="274">
        <f>M30</f>
        <v>14223000</v>
      </c>
      <c r="F80" s="275">
        <f>E73</f>
        <v>1.2379419657272464</v>
      </c>
      <c r="G80" s="276">
        <f t="shared" si="1"/>
        <v>0.19220769011369931</v>
      </c>
      <c r="H80" s="277">
        <f>G80*E80</f>
        <v>2733769.9764871453</v>
      </c>
      <c r="I80" s="277">
        <f t="shared" si="2"/>
        <v>14153269.976487145</v>
      </c>
      <c r="J80" s="278"/>
    </row>
    <row r="81" spans="2:8">
      <c r="F81" s="129"/>
    </row>
    <row r="82" spans="2:8">
      <c r="C82" s="1" t="s">
        <v>205</v>
      </c>
    </row>
    <row r="83" spans="2:8">
      <c r="C83" s="268" t="s">
        <v>206</v>
      </c>
      <c r="D83" s="279"/>
    </row>
    <row r="84" spans="2:8">
      <c r="B84" s="129"/>
      <c r="C84" s="1" t="s">
        <v>207</v>
      </c>
      <c r="F84" s="276">
        <f>(D20+D21)/G27</f>
        <v>0.15958107059736229</v>
      </c>
      <c r="G84" s="129"/>
      <c r="H84" s="129"/>
    </row>
    <row r="85" spans="2:8">
      <c r="C85" s="1" t="s">
        <v>208</v>
      </c>
      <c r="F85" s="267">
        <f>D18/G26</f>
        <v>416.00397614314113</v>
      </c>
      <c r="G85" s="129"/>
      <c r="H85" s="129"/>
    </row>
    <row r="86" spans="2:8">
      <c r="C86" s="1" t="s">
        <v>209</v>
      </c>
      <c r="F86" s="267">
        <f>D19/G28</f>
        <v>158.45997973657549</v>
      </c>
      <c r="G86" s="129"/>
      <c r="H86" s="129"/>
    </row>
    <row r="88" spans="2:8">
      <c r="B88" s="129"/>
      <c r="C88" s="1" t="s">
        <v>210</v>
      </c>
    </row>
    <row r="89" spans="2:8">
      <c r="D89" s="1" t="s">
        <v>211</v>
      </c>
      <c r="F89" s="280">
        <v>44743</v>
      </c>
    </row>
    <row r="90" spans="2:8">
      <c r="D90" s="1" t="s">
        <v>212</v>
      </c>
      <c r="F90" s="280">
        <v>46023</v>
      </c>
    </row>
    <row r="91" spans="2:8">
      <c r="B91" s="129"/>
      <c r="D91" s="1" t="s">
        <v>213</v>
      </c>
      <c r="F91" s="1">
        <f>YEARFRAC(F89,F90)</f>
        <v>3.5</v>
      </c>
      <c r="G91" s="129"/>
    </row>
    <row r="92" spans="2:8">
      <c r="B92" s="129"/>
      <c r="C92" s="1" t="s">
        <v>214</v>
      </c>
      <c r="D92" s="1" t="s">
        <v>211</v>
      </c>
      <c r="F92" s="280">
        <v>44743</v>
      </c>
    </row>
    <row r="93" spans="2:8">
      <c r="B93" s="129"/>
      <c r="D93" s="1" t="s">
        <v>215</v>
      </c>
      <c r="F93" s="280">
        <v>45839</v>
      </c>
    </row>
    <row r="94" spans="2:8">
      <c r="B94" s="129"/>
      <c r="D94" s="1" t="s">
        <v>213</v>
      </c>
      <c r="F94" s="1">
        <f>YEARFRAC(F92,F93)</f>
        <v>3</v>
      </c>
      <c r="G94" s="129"/>
    </row>
    <row r="95" spans="2:8">
      <c r="C95" s="1" t="s">
        <v>216</v>
      </c>
      <c r="F95" s="267">
        <f>F85*(1+D10)^F91+F86*(1+D10)^F94</f>
        <v>614.01855784124018</v>
      </c>
      <c r="G95" s="129"/>
    </row>
    <row r="96" spans="2:8">
      <c r="B96" s="129"/>
      <c r="C96" s="136" t="s">
        <v>217</v>
      </c>
      <c r="D96" s="136"/>
      <c r="E96" s="136"/>
      <c r="F96" s="281">
        <f>SUM(H107:H109)/SUM(E107:E109)</f>
        <v>6947.8764064922161</v>
      </c>
      <c r="G96" s="129"/>
    </row>
    <row r="97" spans="2:18">
      <c r="B97" s="129"/>
      <c r="C97" s="136" t="s">
        <v>218</v>
      </c>
      <c r="D97" s="136"/>
      <c r="E97" s="136"/>
      <c r="F97" s="282">
        <f>F95/F96</f>
        <v>8.8374997181511553E-2</v>
      </c>
      <c r="G97" s="129"/>
    </row>
    <row r="99" spans="2:18">
      <c r="C99" s="187" t="s">
        <v>219</v>
      </c>
      <c r="D99" s="187"/>
      <c r="E99" s="187"/>
      <c r="F99" s="187"/>
      <c r="G99" s="187"/>
      <c r="H99" s="187"/>
      <c r="I99" s="187"/>
      <c r="J99" s="187"/>
      <c r="K99" s="187"/>
    </row>
    <row r="100" spans="2:18">
      <c r="C100" s="136" t="s">
        <v>220</v>
      </c>
      <c r="D100" s="136" t="s">
        <v>221</v>
      </c>
      <c r="E100" s="266"/>
      <c r="F100" s="266"/>
      <c r="G100" s="266"/>
      <c r="H100" s="266"/>
      <c r="I100" s="266"/>
      <c r="J100" s="266"/>
      <c r="K100" s="266"/>
    </row>
    <row r="101" spans="2:18">
      <c r="C101" s="136" t="s">
        <v>222</v>
      </c>
      <c r="D101" s="283">
        <v>45839</v>
      </c>
      <c r="E101" s="266"/>
      <c r="F101" s="266"/>
      <c r="G101" s="266"/>
      <c r="H101" s="266"/>
      <c r="I101" s="266"/>
      <c r="J101" s="266"/>
      <c r="K101" s="266"/>
    </row>
    <row r="102" spans="2:18">
      <c r="C102" s="136" t="s">
        <v>223</v>
      </c>
      <c r="D102" s="266"/>
      <c r="E102" s="266"/>
      <c r="F102" s="266"/>
      <c r="G102" s="266"/>
      <c r="H102" s="266"/>
      <c r="I102" s="266"/>
      <c r="J102" s="266"/>
      <c r="K102" s="266"/>
    </row>
    <row r="103" spans="2:18">
      <c r="C103" s="266"/>
      <c r="D103" s="266"/>
      <c r="E103" s="266"/>
      <c r="F103" s="266"/>
      <c r="G103" s="266"/>
      <c r="H103" s="266"/>
      <c r="I103" s="266"/>
      <c r="J103" s="266"/>
      <c r="K103" s="266"/>
    </row>
    <row r="104" spans="2:18">
      <c r="C104" s="268" t="s">
        <v>224</v>
      </c>
      <c r="D104" s="266"/>
      <c r="E104" s="266"/>
      <c r="F104" s="266"/>
      <c r="G104" s="266"/>
      <c r="H104" s="266"/>
      <c r="I104" s="266"/>
      <c r="J104" s="266"/>
      <c r="K104" s="266"/>
      <c r="L104" s="284"/>
    </row>
    <row r="105" spans="2:18">
      <c r="B105" s="129"/>
      <c r="C105" s="266"/>
      <c r="D105" s="266"/>
      <c r="E105" s="266"/>
      <c r="F105" s="266"/>
      <c r="G105" s="266"/>
      <c r="H105" s="266"/>
      <c r="I105" s="266"/>
      <c r="J105" s="266"/>
      <c r="K105" s="266"/>
      <c r="L105" s="266"/>
      <c r="M105" s="266"/>
      <c r="N105" s="266"/>
    </row>
    <row r="106" spans="2:18">
      <c r="C106" s="136" t="s">
        <v>44</v>
      </c>
      <c r="D106" s="136" t="s">
        <v>25</v>
      </c>
      <c r="E106" s="136" t="s">
        <v>57</v>
      </c>
      <c r="F106" s="136" t="s">
        <v>219</v>
      </c>
      <c r="G106" s="136" t="s">
        <v>225</v>
      </c>
      <c r="H106" s="136" t="s">
        <v>226</v>
      </c>
      <c r="I106" s="136" t="s">
        <v>227</v>
      </c>
      <c r="J106" s="136" t="s">
        <v>228</v>
      </c>
      <c r="K106" s="136" t="s">
        <v>229</v>
      </c>
      <c r="L106" s="136" t="s">
        <v>230</v>
      </c>
      <c r="M106" s="136" t="s">
        <v>231</v>
      </c>
    </row>
    <row r="107" spans="2:18">
      <c r="C107" s="136">
        <v>2021</v>
      </c>
      <c r="D107" s="285">
        <f>D25</f>
        <v>19650000</v>
      </c>
      <c r="E107" s="285">
        <f>D26</f>
        <v>3200</v>
      </c>
      <c r="F107" s="136">
        <v>4.5</v>
      </c>
      <c r="G107" s="286">
        <f>(1+D$11)^F107</f>
        <v>1.1422666868245983</v>
      </c>
      <c r="H107" s="285">
        <f>D107*G107</f>
        <v>22445540.396103356</v>
      </c>
      <c r="I107" s="285">
        <f>I78</f>
        <v>14290695.919526374</v>
      </c>
      <c r="J107" s="136">
        <f>+F107</f>
        <v>4.5</v>
      </c>
      <c r="K107" s="286">
        <f>((1+$D$12)*(1+$D$13))^J107</f>
        <v>1.2476598766022187</v>
      </c>
      <c r="L107" s="285">
        <f>I107*D$15*K107</f>
        <v>19791219.977342878</v>
      </c>
      <c r="M107" s="286">
        <f>L107/H107</f>
        <v>0.88174397355025236</v>
      </c>
    </row>
    <row r="108" spans="2:18">
      <c r="C108" s="136">
        <v>2022</v>
      </c>
      <c r="D108" s="285">
        <f>E25</f>
        <v>20470000</v>
      </c>
      <c r="E108" s="285">
        <f>E26</f>
        <v>3350</v>
      </c>
      <c r="F108" s="136">
        <f>+F107-1</f>
        <v>3.5</v>
      </c>
      <c r="G108" s="286">
        <f>(1+D$11)^F108</f>
        <v>1.1089967833248526</v>
      </c>
      <c r="H108" s="285">
        <f>D108*G108</f>
        <v>22701164.154659733</v>
      </c>
      <c r="I108" s="285">
        <f>I79</f>
        <v>12740710.993553506</v>
      </c>
      <c r="J108" s="136">
        <f t="shared" ref="J108:J109" si="3">+F108</f>
        <v>3.5</v>
      </c>
      <c r="K108" s="286">
        <f>((1+$D$12)*(1+$D$13))^J108</f>
        <v>1.1877950081894693</v>
      </c>
      <c r="L108" s="285">
        <f t="shared" ref="L108:L109" si="4">I108*D$15*K108</f>
        <v>16798021.74000958</v>
      </c>
      <c r="M108" s="286">
        <f>L108/H108</f>
        <v>0.73996300919050217</v>
      </c>
    </row>
    <row r="109" spans="2:18">
      <c r="C109" s="136">
        <v>2023</v>
      </c>
      <c r="D109" s="285">
        <f>F25</f>
        <v>22986000</v>
      </c>
      <c r="E109" s="285">
        <f>F26</f>
        <v>3510</v>
      </c>
      <c r="F109" s="136">
        <f>+F108-1</f>
        <v>2.5</v>
      </c>
      <c r="G109" s="286">
        <f>(1+D$11)^F109</f>
        <v>1.0766959061406336</v>
      </c>
      <c r="H109" s="285">
        <f>D109*G109</f>
        <v>24748932.098548602</v>
      </c>
      <c r="I109" s="285">
        <f>I80</f>
        <v>14153269.976487145</v>
      </c>
      <c r="J109" s="136">
        <f t="shared" si="3"/>
        <v>2.5</v>
      </c>
      <c r="K109" s="286">
        <f t="shared" ref="K109" si="5">((1+$D$12)*(1+$D$13))^J109</f>
        <v>1.1308025592055115</v>
      </c>
      <c r="L109" s="285">
        <f t="shared" si="4"/>
        <v>17765054.840697397</v>
      </c>
      <c r="M109" s="286">
        <f>L109/H109</f>
        <v>0.71781096533612554</v>
      </c>
      <c r="P109" s="287" t="s">
        <v>232</v>
      </c>
    </row>
    <row r="110" spans="2:18">
      <c r="C110" s="266"/>
      <c r="D110" s="266"/>
      <c r="E110" s="266"/>
      <c r="F110" s="266"/>
      <c r="G110" s="266"/>
      <c r="H110" s="266"/>
      <c r="I110" s="266"/>
      <c r="J110" s="266"/>
      <c r="K110" s="286"/>
      <c r="L110" s="266"/>
      <c r="M110" s="266"/>
      <c r="P110" s="287" t="s">
        <v>233</v>
      </c>
    </row>
    <row r="111" spans="2:18">
      <c r="B111" s="129"/>
      <c r="C111" s="266"/>
      <c r="D111" s="266"/>
      <c r="E111" s="266"/>
      <c r="F111" s="266"/>
      <c r="G111" s="266"/>
      <c r="H111" s="136"/>
      <c r="I111" s="136" t="s">
        <v>234</v>
      </c>
      <c r="J111" s="136"/>
      <c r="K111" s="286"/>
      <c r="L111" s="266"/>
      <c r="M111" s="288">
        <f>AVERAGE(M107:M109)</f>
        <v>0.77983931602562662</v>
      </c>
      <c r="N111" s="129"/>
      <c r="P111" s="289">
        <f>SUM(L107:L109)/SUM(H107:H109)</f>
        <v>0.77764935214428899</v>
      </c>
      <c r="R111" s="129"/>
    </row>
    <row r="112" spans="2:18">
      <c r="B112" s="129"/>
      <c r="C112" s="266"/>
      <c r="D112" s="266"/>
      <c r="E112" s="266"/>
      <c r="F112" s="266"/>
      <c r="G112" s="266"/>
      <c r="H112" s="266"/>
      <c r="I112" s="136" t="s">
        <v>235</v>
      </c>
      <c r="J112" s="136"/>
      <c r="K112" s="286"/>
      <c r="L112" s="266"/>
      <c r="M112" s="168">
        <f>F97</f>
        <v>8.8374997181511553E-2</v>
      </c>
      <c r="P112" s="290">
        <f>+M112</f>
        <v>8.8374997181511553E-2</v>
      </c>
    </row>
    <row r="113" spans="2:16">
      <c r="B113" s="129"/>
      <c r="C113" s="266"/>
      <c r="D113" s="266"/>
      <c r="E113" s="266"/>
      <c r="F113" s="266"/>
      <c r="G113" s="266"/>
      <c r="H113" s="266"/>
      <c r="I113" s="136" t="s">
        <v>236</v>
      </c>
      <c r="J113" s="136"/>
      <c r="K113" s="286"/>
      <c r="L113" s="266"/>
      <c r="M113" s="156">
        <f>F84</f>
        <v>0.15958107059736229</v>
      </c>
      <c r="P113" s="290">
        <f t="shared" ref="P113:P114" si="6">+M113</f>
        <v>0.15958107059736229</v>
      </c>
    </row>
    <row r="114" spans="2:16">
      <c r="B114" s="129"/>
      <c r="C114" s="266"/>
      <c r="D114" s="266"/>
      <c r="E114" s="266"/>
      <c r="F114" s="266"/>
      <c r="G114" s="266"/>
      <c r="H114" s="266"/>
      <c r="I114" s="136" t="s">
        <v>31</v>
      </c>
      <c r="J114" s="136"/>
      <c r="K114" s="286"/>
      <c r="L114" s="266"/>
      <c r="M114" s="156">
        <f>D14</f>
        <v>0.06</v>
      </c>
      <c r="P114" s="290">
        <f t="shared" si="6"/>
        <v>0.06</v>
      </c>
    </row>
    <row r="115" spans="2:16">
      <c r="B115" s="129"/>
      <c r="C115" s="266"/>
      <c r="D115" s="266"/>
      <c r="E115" s="266"/>
      <c r="F115" s="266"/>
      <c r="G115" s="266"/>
      <c r="H115" s="266"/>
      <c r="I115" s="136" t="s">
        <v>237</v>
      </c>
      <c r="J115" s="136"/>
      <c r="K115" s="136"/>
      <c r="L115" s="266"/>
      <c r="M115" s="156">
        <f>1-M113-M114</f>
        <v>0.7804189294026378</v>
      </c>
      <c r="N115" s="129"/>
      <c r="P115" s="291">
        <f>1-P113-P114</f>
        <v>0.7804189294026378</v>
      </c>
    </row>
    <row r="116" spans="2:16">
      <c r="B116" s="129"/>
      <c r="C116" s="266"/>
      <c r="D116" s="266"/>
      <c r="E116" s="266"/>
      <c r="F116" s="266"/>
      <c r="G116" s="266"/>
      <c r="H116" s="266"/>
      <c r="I116" s="136" t="s">
        <v>238</v>
      </c>
      <c r="J116" s="136"/>
      <c r="K116" s="136"/>
      <c r="L116" s="136"/>
      <c r="M116" s="497">
        <f>(M111+M112)/M115-1</f>
        <v>0.11249776305618608</v>
      </c>
      <c r="N116" s="129"/>
      <c r="P116" s="292">
        <f>(P111+P112)/P115-1</f>
        <v>0.10969162420072043</v>
      </c>
    </row>
  </sheetData>
  <conditionalFormatting sqref="C47:C49">
    <cfRule type="expression" dxfId="22" priority="15">
      <formula>CELL("protect",C47)=1</formula>
    </cfRule>
  </conditionalFormatting>
  <conditionalFormatting sqref="C56:C57">
    <cfRule type="expression" dxfId="21" priority="12">
      <formula>CELL("protect",C56)=1</formula>
    </cfRule>
  </conditionalFormatting>
  <conditionalFormatting sqref="C83">
    <cfRule type="expression" dxfId="20" priority="5">
      <formula>CELL("protect",C83)=1</formula>
    </cfRule>
  </conditionalFormatting>
  <conditionalFormatting sqref="C104">
    <cfRule type="expression" dxfId="19" priority="1">
      <formula>CELL("protect",C104)=1</formula>
    </cfRule>
  </conditionalFormatting>
  <conditionalFormatting sqref="C75:D75">
    <cfRule type="expression" dxfId="18" priority="2">
      <formula>CELL("protect",C75)=1</formula>
    </cfRule>
  </conditionalFormatting>
  <conditionalFormatting sqref="C43:H46">
    <cfRule type="expression" dxfId="17" priority="6">
      <formula>CELL("protect",C43)=1</formula>
    </cfRule>
  </conditionalFormatting>
  <conditionalFormatting sqref="D57">
    <cfRule type="expression" dxfId="16" priority="10">
      <formula>CELL("protect",D57)=1</formula>
    </cfRule>
  </conditionalFormatting>
  <conditionalFormatting sqref="D65">
    <cfRule type="expression" dxfId="15" priority="9">
      <formula>CELL("protect",D65)=1</formula>
    </cfRule>
  </conditionalFormatting>
  <conditionalFormatting sqref="D73">
    <cfRule type="expression" dxfId="14" priority="8">
      <formula>CELL("protect",D73)=1</formula>
    </cfRule>
  </conditionalFormatting>
  <conditionalFormatting sqref="D48:F49 H48:I49 H75:I75">
    <cfRule type="expression" dxfId="13" priority="18">
      <formula>CELL("protect",D48)=1</formula>
    </cfRule>
  </conditionalFormatting>
  <conditionalFormatting sqref="D54:F56 H54:I57 E57:F57">
    <cfRule type="expression" dxfId="12" priority="14">
      <formula>CELL("protect",D54)=1</formula>
    </cfRule>
  </conditionalFormatting>
  <conditionalFormatting sqref="D47:H47">
    <cfRule type="expression" dxfId="11" priority="7">
      <formula>CELL("protect",D47)=1</formula>
    </cfRule>
  </conditionalFormatting>
  <conditionalFormatting sqref="D50:I53">
    <cfRule type="expression" dxfId="10" priority="11">
      <formula>CELL("protect",D50)=1</formula>
    </cfRule>
  </conditionalFormatting>
  <conditionalFormatting sqref="E75:F75">
    <cfRule type="expression" dxfId="9" priority="3">
      <formula>CELL("protect",E75)=1</formula>
    </cfRule>
  </conditionalFormatting>
  <conditionalFormatting sqref="G48:G49 G63:G64 G75 C96:F97">
    <cfRule type="expression" dxfId="8" priority="19">
      <formula>CELL("protect",C48)=1</formula>
    </cfRule>
  </conditionalFormatting>
  <conditionalFormatting sqref="G54:G57">
    <cfRule type="expression" dxfId="7" priority="13">
      <formula>CELL("protect",G54)=1</formula>
    </cfRule>
  </conditionalFormatting>
  <conditionalFormatting sqref="H60:I62">
    <cfRule type="expression" dxfId="6" priority="16">
      <formula>CELL("protect",H60)=1</formula>
    </cfRule>
  </conditionalFormatting>
  <conditionalFormatting sqref="H78:I80">
    <cfRule type="expression" dxfId="5" priority="4">
      <formula>CELL("protect",H78)=1</formula>
    </cfRule>
  </conditionalFormatting>
  <conditionalFormatting sqref="K62">
    <cfRule type="expression" dxfId="4" priority="17">
      <formula>CELL("protect",K62)=1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AD7A8-027D-4811-A7A1-E5A189901E0C}">
  <dimension ref="A1:AB57"/>
  <sheetViews>
    <sheetView zoomScale="90" zoomScaleNormal="90" workbookViewId="0"/>
  </sheetViews>
  <sheetFormatPr defaultColWidth="8.7265625" defaultRowHeight="14.5"/>
  <cols>
    <col min="1" max="1" width="9.453125" style="1" bestFit="1" customWidth="1"/>
    <col min="2" max="2" width="12.54296875" style="1" customWidth="1"/>
    <col min="3" max="3" width="12.453125" style="1" customWidth="1"/>
    <col min="4" max="4" width="16.453125" style="1" customWidth="1"/>
    <col min="5" max="5" width="11.26953125" style="1" customWidth="1"/>
    <col min="6" max="6" width="11.453125" style="1" customWidth="1"/>
    <col min="7" max="7" width="14" style="1" customWidth="1"/>
    <col min="8" max="9" width="8.7265625" style="1" bestFit="1" customWidth="1"/>
    <col min="10" max="10" width="12.453125" style="1" customWidth="1"/>
    <col min="11" max="11" width="13.26953125" style="1" customWidth="1"/>
    <col min="12" max="12" width="11.26953125" style="1" customWidth="1"/>
    <col min="13" max="13" width="27.453125" style="1" customWidth="1"/>
    <col min="14" max="14" width="19.26953125" style="1" customWidth="1"/>
    <col min="15" max="15" width="16.453125" style="1" customWidth="1"/>
    <col min="16" max="16" width="41.453125" style="1" bestFit="1" customWidth="1"/>
    <col min="17" max="18" width="8.7265625" style="1"/>
    <col min="19" max="23" width="8.7265625" style="1" bestFit="1" customWidth="1"/>
    <col min="24" max="24" width="11.26953125" style="1" customWidth="1"/>
    <col min="25" max="25" width="8.7265625" style="1" bestFit="1" customWidth="1"/>
    <col min="26" max="26" width="9.453125" style="1" bestFit="1" customWidth="1"/>
    <col min="27" max="27" width="11.7265625" style="1" customWidth="1"/>
    <col min="28" max="28" width="8.7265625" style="1" bestFit="1" customWidth="1"/>
    <col min="29" max="16384" width="8.7265625" style="1"/>
  </cols>
  <sheetData>
    <row r="1" spans="1:20">
      <c r="A1" s="135" t="s">
        <v>132</v>
      </c>
      <c r="B1" s="1" t="s">
        <v>14</v>
      </c>
    </row>
    <row r="2" spans="1:20">
      <c r="A2" s="135" t="s">
        <v>133</v>
      </c>
      <c r="B2" s="1" t="s">
        <v>175</v>
      </c>
    </row>
    <row r="3" spans="1:20">
      <c r="A3" s="135" t="s">
        <v>135</v>
      </c>
      <c r="B3" s="1" t="s">
        <v>136</v>
      </c>
    </row>
    <row r="4" spans="1:20">
      <c r="A4" s="135" t="s">
        <v>137</v>
      </c>
      <c r="B4" s="1" t="s">
        <v>239</v>
      </c>
    </row>
    <row r="5" spans="1:20">
      <c r="A5" s="135" t="s">
        <v>139</v>
      </c>
      <c r="B5" s="1" t="s">
        <v>240</v>
      </c>
    </row>
    <row r="7" spans="1:20" s="294" customFormat="1">
      <c r="A7" s="299"/>
      <c r="B7" s="301"/>
      <c r="C7" s="264" t="s">
        <v>76</v>
      </c>
      <c r="D7" s="187"/>
      <c r="E7" s="187"/>
      <c r="F7" s="187"/>
      <c r="G7" s="187"/>
      <c r="H7" s="277"/>
      <c r="I7" s="302"/>
      <c r="J7" s="302"/>
      <c r="K7" s="303"/>
      <c r="L7" s="302"/>
      <c r="M7" s="142"/>
      <c r="N7" s="142"/>
      <c r="O7" s="142"/>
      <c r="P7" s="142"/>
      <c r="Q7" s="142"/>
      <c r="S7" s="296"/>
      <c r="T7" s="304"/>
    </row>
    <row r="8" spans="1:20" s="294" customFormat="1">
      <c r="A8" s="299"/>
      <c r="B8" s="301"/>
      <c r="C8" s="187"/>
      <c r="D8" s="187"/>
      <c r="E8" s="187"/>
      <c r="F8" s="187"/>
      <c r="G8" s="187"/>
      <c r="H8" s="1"/>
      <c r="I8" s="308"/>
      <c r="J8" s="308"/>
      <c r="K8" s="303"/>
      <c r="L8" s="143"/>
      <c r="M8" s="142"/>
      <c r="N8" s="142"/>
      <c r="O8" s="142"/>
      <c r="P8" s="142"/>
      <c r="Q8" s="142"/>
      <c r="S8" s="296"/>
      <c r="T8" s="266"/>
    </row>
    <row r="9" spans="1:20" s="294" customFormat="1">
      <c r="A9" s="299"/>
      <c r="B9" s="301"/>
      <c r="C9" s="309" t="s">
        <v>81</v>
      </c>
      <c r="D9" s="310"/>
      <c r="E9" s="310"/>
      <c r="F9" s="310"/>
      <c r="G9" s="311"/>
      <c r="H9" s="1"/>
      <c r="I9" s="308"/>
      <c r="J9" s="308"/>
      <c r="K9" s="303"/>
      <c r="L9" s="143"/>
      <c r="M9" s="142"/>
      <c r="N9" s="142"/>
      <c r="O9" s="142"/>
      <c r="P9" s="142"/>
      <c r="Q9" s="142"/>
      <c r="S9" s="296"/>
      <c r="T9" s="266"/>
    </row>
    <row r="10" spans="1:20" s="294" customFormat="1">
      <c r="A10" s="299"/>
      <c r="B10" s="301"/>
      <c r="C10" s="312"/>
      <c r="D10" s="312"/>
      <c r="E10" s="312" t="s">
        <v>82</v>
      </c>
      <c r="F10" s="312"/>
      <c r="G10" s="312"/>
      <c r="H10" s="1"/>
      <c r="I10" s="313"/>
      <c r="J10" s="313"/>
      <c r="K10" s="303"/>
      <c r="L10" s="143"/>
      <c r="M10" s="142"/>
      <c r="N10" s="142"/>
      <c r="O10" s="142"/>
      <c r="P10" s="142"/>
      <c r="Q10" s="142"/>
      <c r="S10" s="296"/>
      <c r="T10" s="266"/>
    </row>
    <row r="11" spans="1:20" s="294" customFormat="1">
      <c r="A11" s="299"/>
      <c r="B11" s="301"/>
      <c r="C11" s="316"/>
      <c r="D11" s="316" t="s">
        <v>3</v>
      </c>
      <c r="E11" s="316" t="s">
        <v>83</v>
      </c>
      <c r="F11" s="316" t="s">
        <v>84</v>
      </c>
      <c r="G11" s="316" t="s">
        <v>85</v>
      </c>
      <c r="H11" s="187"/>
      <c r="I11" s="317"/>
      <c r="J11" s="317"/>
      <c r="L11" s="318"/>
      <c r="M11" s="166"/>
      <c r="N11" s="161"/>
      <c r="O11" s="161"/>
      <c r="P11" s="161"/>
      <c r="Q11" s="161"/>
      <c r="S11" s="296"/>
      <c r="T11" s="266"/>
    </row>
    <row r="12" spans="1:20" s="294" customFormat="1">
      <c r="A12" s="299"/>
      <c r="B12" s="301"/>
      <c r="C12" s="321" t="s">
        <v>86</v>
      </c>
      <c r="D12" s="321" t="s">
        <v>87</v>
      </c>
      <c r="E12" s="321" t="s">
        <v>88</v>
      </c>
      <c r="F12" s="321" t="s">
        <v>89</v>
      </c>
      <c r="G12" s="321" t="s">
        <v>90</v>
      </c>
      <c r="H12" s="1"/>
      <c r="I12" s="317"/>
      <c r="J12" s="317"/>
      <c r="K12" s="303"/>
      <c r="L12" s="322"/>
      <c r="M12" s="170"/>
      <c r="N12" s="161"/>
      <c r="O12" s="161"/>
      <c r="P12" s="161"/>
      <c r="Q12" s="161"/>
      <c r="S12" s="296"/>
      <c r="T12" s="266"/>
    </row>
    <row r="13" spans="1:20" s="294" customFormat="1">
      <c r="A13" s="299"/>
      <c r="B13" s="301"/>
      <c r="C13" s="325">
        <v>2015</v>
      </c>
      <c r="D13" s="326">
        <v>5000000</v>
      </c>
      <c r="E13" s="326">
        <v>100</v>
      </c>
      <c r="F13" s="326">
        <v>500000</v>
      </c>
      <c r="G13" s="326">
        <v>300000</v>
      </c>
      <c r="H13" s="1"/>
      <c r="I13" s="317"/>
      <c r="J13" s="317"/>
      <c r="K13" s="322"/>
      <c r="L13" s="322"/>
      <c r="M13" s="170"/>
      <c r="N13" s="161"/>
      <c r="O13" s="161"/>
      <c r="P13" s="161"/>
      <c r="Q13" s="161"/>
      <c r="S13" s="296"/>
      <c r="T13" s="266"/>
    </row>
    <row r="14" spans="1:20" s="294" customFormat="1">
      <c r="A14" s="299"/>
      <c r="B14" s="301"/>
      <c r="C14" s="325">
        <v>2016</v>
      </c>
      <c r="D14" s="326">
        <v>10000000</v>
      </c>
      <c r="E14" s="326">
        <v>100</v>
      </c>
      <c r="F14" s="326">
        <v>500000</v>
      </c>
      <c r="G14" s="326">
        <v>375000</v>
      </c>
      <c r="H14" s="1"/>
      <c r="I14" s="317"/>
      <c r="J14" s="317"/>
      <c r="K14" s="303"/>
      <c r="L14" s="322"/>
      <c r="M14" s="170"/>
      <c r="N14" s="161"/>
      <c r="O14" s="161"/>
      <c r="P14" s="161"/>
      <c r="Q14" s="161"/>
      <c r="S14" s="296"/>
      <c r="T14" s="266"/>
    </row>
    <row r="15" spans="1:20" s="294" customFormat="1">
      <c r="A15" s="299"/>
      <c r="B15" s="301"/>
      <c r="C15" s="325">
        <v>2017</v>
      </c>
      <c r="D15" s="326">
        <v>7500000</v>
      </c>
      <c r="E15" s="326">
        <v>100</v>
      </c>
      <c r="F15" s="326">
        <v>500000</v>
      </c>
      <c r="G15" s="326">
        <v>450000</v>
      </c>
      <c r="H15" s="187"/>
      <c r="I15" s="322"/>
      <c r="J15" s="322"/>
      <c r="K15" s="322"/>
      <c r="L15" s="143"/>
      <c r="M15" s="142"/>
      <c r="N15" s="142"/>
      <c r="O15" s="142"/>
      <c r="P15" s="142"/>
      <c r="Q15" s="142"/>
      <c r="S15" s="296"/>
      <c r="T15" s="266"/>
    </row>
    <row r="16" spans="1:20" s="294" customFormat="1">
      <c r="A16" s="299"/>
      <c r="B16" s="301"/>
      <c r="C16" s="325" t="s">
        <v>91</v>
      </c>
      <c r="D16" s="326">
        <v>22500000</v>
      </c>
      <c r="E16" s="326">
        <v>300</v>
      </c>
      <c r="F16" s="326">
        <v>1500000</v>
      </c>
      <c r="G16" s="326">
        <v>1125000</v>
      </c>
      <c r="H16" s="187"/>
      <c r="I16" s="143"/>
      <c r="J16" s="143"/>
      <c r="K16" s="143"/>
      <c r="L16" s="143"/>
      <c r="M16" s="142"/>
      <c r="N16" s="142"/>
      <c r="O16" s="142"/>
      <c r="P16" s="142"/>
      <c r="Q16" s="142"/>
      <c r="S16" s="296"/>
      <c r="T16" s="266"/>
    </row>
    <row r="17" spans="1:28" s="294" customFormat="1">
      <c r="A17" s="299"/>
      <c r="B17" s="301"/>
      <c r="C17" s="187"/>
      <c r="D17" s="187"/>
      <c r="E17" s="187"/>
      <c r="F17" s="187"/>
      <c r="G17" s="187"/>
      <c r="H17" s="187"/>
      <c r="I17" s="313"/>
      <c r="J17" s="313"/>
      <c r="K17" s="143"/>
      <c r="L17" s="143"/>
      <c r="M17" s="142"/>
      <c r="N17" s="142"/>
      <c r="O17" s="142"/>
      <c r="P17" s="142"/>
      <c r="Q17" s="142"/>
      <c r="S17" s="296"/>
      <c r="T17" s="266"/>
    </row>
    <row r="18" spans="1:28" s="294" customFormat="1">
      <c r="A18" s="299"/>
      <c r="B18" s="301"/>
      <c r="C18" s="332">
        <v>2000</v>
      </c>
      <c r="D18" s="333" t="s">
        <v>92</v>
      </c>
      <c r="E18" s="334"/>
      <c r="F18" s="334"/>
      <c r="G18" s="238"/>
      <c r="H18" s="187"/>
      <c r="I18" s="317"/>
      <c r="J18" s="317"/>
      <c r="K18" s="143"/>
      <c r="L18" s="143"/>
      <c r="M18" s="142"/>
      <c r="N18" s="142"/>
      <c r="O18" s="142"/>
      <c r="P18" s="142"/>
      <c r="Q18" s="142"/>
      <c r="S18" s="296"/>
      <c r="T18" s="266"/>
    </row>
    <row r="19" spans="1:28" s="294" customFormat="1">
      <c r="A19" s="299"/>
      <c r="B19" s="301"/>
      <c r="C19" s="336">
        <v>0.06</v>
      </c>
      <c r="D19" s="337" t="s">
        <v>93</v>
      </c>
      <c r="E19" s="237"/>
      <c r="F19" s="237"/>
      <c r="G19" s="238"/>
      <c r="H19" s="187"/>
      <c r="I19" s="322"/>
      <c r="J19" s="322"/>
      <c r="K19" s="143"/>
      <c r="L19" s="295"/>
      <c r="M19" s="142"/>
      <c r="N19" s="142"/>
      <c r="O19" s="142"/>
      <c r="P19" s="142"/>
      <c r="Q19" s="142"/>
      <c r="S19" s="296"/>
      <c r="T19" s="266"/>
    </row>
    <row r="20" spans="1:28" s="294" customFormat="1">
      <c r="A20" s="299"/>
      <c r="B20" s="301"/>
      <c r="C20" s="336">
        <v>0.7</v>
      </c>
      <c r="D20" s="337" t="s">
        <v>94</v>
      </c>
      <c r="E20" s="334"/>
      <c r="F20" s="334"/>
      <c r="G20" s="339"/>
      <c r="H20" s="187"/>
      <c r="I20" s="322"/>
      <c r="J20" s="322"/>
      <c r="K20" s="143"/>
      <c r="L20" s="143"/>
      <c r="M20" s="142"/>
      <c r="N20" s="142"/>
      <c r="O20" s="142"/>
      <c r="P20" s="142"/>
      <c r="Q20" s="142"/>
      <c r="S20" s="296"/>
      <c r="T20" s="266"/>
    </row>
    <row r="21" spans="1:28" s="294" customFormat="1">
      <c r="A21" s="299"/>
      <c r="B21" s="301"/>
      <c r="C21" s="341">
        <v>500000</v>
      </c>
      <c r="D21" s="337" t="s">
        <v>95</v>
      </c>
      <c r="E21" s="334"/>
      <c r="F21" s="334"/>
      <c r="G21" s="339"/>
      <c r="H21" s="1"/>
      <c r="I21" s="322"/>
      <c r="J21" s="322"/>
      <c r="K21" s="143"/>
      <c r="L21" s="143"/>
      <c r="M21" s="142"/>
      <c r="N21" s="142"/>
      <c r="O21" s="142"/>
      <c r="P21" s="142"/>
      <c r="Q21" s="142"/>
      <c r="S21" s="296"/>
      <c r="T21" s="266"/>
    </row>
    <row r="22" spans="1:28" s="294" customFormat="1">
      <c r="A22" s="299"/>
      <c r="B22" s="301"/>
      <c r="C22" s="187"/>
      <c r="D22" s="187"/>
      <c r="E22" s="1"/>
      <c r="F22" s="1"/>
      <c r="G22" s="306"/>
      <c r="H22" s="1"/>
      <c r="I22" s="322"/>
      <c r="J22" s="322"/>
      <c r="K22" s="143"/>
      <c r="L22" s="143"/>
      <c r="M22" s="142"/>
      <c r="N22" s="142"/>
      <c r="O22" s="142"/>
      <c r="P22" s="142"/>
      <c r="Q22" s="142"/>
      <c r="S22" s="296"/>
      <c r="T22" s="266"/>
    </row>
    <row r="23" spans="1:28" s="294" customFormat="1">
      <c r="A23" s="299"/>
      <c r="B23" s="301"/>
      <c r="C23" s="344" t="s">
        <v>241</v>
      </c>
      <c r="D23" s="187"/>
      <c r="E23" s="1"/>
      <c r="F23" s="1"/>
      <c r="G23" s="187"/>
      <c r="H23" s="36"/>
      <c r="I23" s="322"/>
      <c r="J23" s="322"/>
      <c r="K23" s="143"/>
      <c r="L23" s="143"/>
      <c r="M23" s="142"/>
      <c r="N23" s="142"/>
      <c r="O23" s="142"/>
      <c r="P23" s="142"/>
      <c r="Q23" s="142"/>
      <c r="S23" s="296"/>
      <c r="T23" s="266"/>
    </row>
    <row r="24" spans="1:28" s="294" customFormat="1">
      <c r="A24" s="299"/>
      <c r="B24" s="301"/>
      <c r="C24" s="345" t="s">
        <v>242</v>
      </c>
      <c r="D24" s="187"/>
      <c r="E24" s="187"/>
      <c r="F24" s="187"/>
      <c r="G24" s="187"/>
      <c r="H24" s="1"/>
      <c r="I24" s="322"/>
      <c r="J24" s="322"/>
      <c r="K24" s="143"/>
      <c r="L24" s="143"/>
      <c r="M24" s="142"/>
      <c r="N24" s="142"/>
      <c r="O24" s="142"/>
      <c r="P24" s="142"/>
      <c r="Q24" s="142"/>
      <c r="S24" s="296"/>
      <c r="T24" s="266"/>
    </row>
    <row r="25" spans="1:28" s="294" customFormat="1">
      <c r="A25" s="299"/>
      <c r="B25" s="301"/>
      <c r="C25" s="345" t="s">
        <v>243</v>
      </c>
      <c r="D25" s="187"/>
      <c r="E25" s="187"/>
      <c r="F25" s="187"/>
      <c r="G25" s="187"/>
      <c r="H25" s="1"/>
      <c r="I25" s="322"/>
      <c r="J25" s="322"/>
      <c r="K25" s="143"/>
      <c r="L25" s="143"/>
      <c r="M25" s="142"/>
      <c r="N25" s="142"/>
      <c r="O25" s="142"/>
      <c r="P25" s="142"/>
      <c r="Q25" s="142"/>
      <c r="S25" s="296"/>
      <c r="T25" s="266"/>
    </row>
    <row r="26" spans="1:28" s="294" customFormat="1">
      <c r="A26" s="299"/>
      <c r="B26" s="301"/>
      <c r="C26" s="347"/>
      <c r="D26" s="348"/>
      <c r="E26" s="349"/>
      <c r="F26" s="349"/>
      <c r="G26" s="349"/>
      <c r="H26" s="322"/>
      <c r="I26" s="322"/>
      <c r="J26" s="322"/>
      <c r="K26" s="143"/>
      <c r="L26" s="143"/>
      <c r="M26" s="142"/>
      <c r="N26" s="142"/>
      <c r="O26" s="142"/>
      <c r="P26" s="142"/>
      <c r="Q26" s="142"/>
      <c r="S26" s="296"/>
      <c r="T26" s="266"/>
    </row>
    <row r="27" spans="1:28" s="294" customFormat="1">
      <c r="A27" s="350"/>
      <c r="B27" s="161"/>
      <c r="C27" s="143" t="s">
        <v>80</v>
      </c>
      <c r="D27" s="348"/>
      <c r="E27" s="349"/>
      <c r="F27" s="349"/>
      <c r="G27" s="349"/>
      <c r="H27" s="322"/>
      <c r="I27" s="322"/>
      <c r="J27" s="322"/>
      <c r="K27" s="143"/>
      <c r="L27" s="143"/>
      <c r="M27" s="142"/>
      <c r="N27" s="142"/>
      <c r="O27" s="142"/>
      <c r="P27" s="142"/>
      <c r="Q27" s="142"/>
      <c r="S27" s="296"/>
      <c r="T27" s="266"/>
    </row>
    <row r="28" spans="1:28" s="294" customFormat="1">
      <c r="A28" s="350"/>
      <c r="B28" s="161"/>
      <c r="C28" s="264"/>
      <c r="D28" s="317"/>
      <c r="E28" s="317"/>
      <c r="F28" s="317"/>
      <c r="G28" s="317"/>
      <c r="H28" s="322"/>
      <c r="I28" s="322"/>
      <c r="J28" s="322"/>
      <c r="K28" s="143"/>
      <c r="L28" s="143"/>
      <c r="M28" s="142"/>
      <c r="N28" s="142"/>
      <c r="O28" s="142"/>
      <c r="P28" s="142"/>
      <c r="Q28" s="142"/>
      <c r="S28" s="296"/>
      <c r="T28" s="266"/>
    </row>
    <row r="29" spans="1:28" s="294" customFormat="1">
      <c r="A29" s="350"/>
      <c r="B29" s="161"/>
      <c r="C29" s="1"/>
      <c r="D29" s="317"/>
      <c r="E29" s="317"/>
      <c r="F29" s="317"/>
      <c r="G29" s="317"/>
      <c r="H29" s="322"/>
      <c r="I29" s="322"/>
      <c r="J29" s="322"/>
      <c r="K29" s="143"/>
      <c r="L29" s="143"/>
      <c r="M29" s="142"/>
      <c r="N29" s="142"/>
      <c r="O29" s="142"/>
      <c r="P29" s="142"/>
      <c r="Q29" s="142"/>
      <c r="S29" s="296"/>
      <c r="T29" s="266"/>
    </row>
    <row r="30" spans="1:28" s="294" customFormat="1">
      <c r="A30" s="350"/>
      <c r="B30" s="161"/>
      <c r="C30" s="1"/>
      <c r="I30" s="322"/>
      <c r="J30" s="322"/>
      <c r="K30" s="143"/>
      <c r="L30" s="143"/>
      <c r="M30" s="142"/>
      <c r="N30" s="142"/>
      <c r="O30" s="142"/>
      <c r="P30" s="142"/>
      <c r="Q30" s="142"/>
      <c r="S30" s="296"/>
      <c r="T30" s="293"/>
      <c r="U30" s="351"/>
      <c r="V30" s="352"/>
      <c r="W30" s="353"/>
      <c r="X30" s="353"/>
      <c r="Y30" s="353"/>
      <c r="Z30" s="353"/>
      <c r="AA30" s="353"/>
      <c r="AB30" s="353"/>
    </row>
    <row r="33" spans="1:11">
      <c r="A33" s="1" t="s">
        <v>155</v>
      </c>
    </row>
    <row r="34" spans="1:11">
      <c r="A34" s="271"/>
      <c r="B34" s="298"/>
      <c r="C34" s="298"/>
      <c r="D34" s="300"/>
      <c r="E34" s="298"/>
      <c r="F34" s="298"/>
      <c r="G34" s="298"/>
      <c r="H34" s="298"/>
    </row>
    <row r="35" spans="1:11">
      <c r="A35" s="305"/>
      <c r="B35" s="1" t="s">
        <v>244</v>
      </c>
      <c r="F35" s="306"/>
      <c r="G35" s="307">
        <f>+F16*C20</f>
        <v>1050000</v>
      </c>
      <c r="I35" s="294"/>
      <c r="J35" s="294"/>
      <c r="K35" s="294"/>
    </row>
    <row r="36" spans="1:11">
      <c r="A36" s="36"/>
      <c r="E36" s="307"/>
      <c r="F36" s="307"/>
      <c r="I36" s="294"/>
      <c r="J36" s="294"/>
      <c r="K36" s="294"/>
    </row>
    <row r="37" spans="1:11">
      <c r="A37" s="305"/>
      <c r="B37" s="187" t="s">
        <v>245</v>
      </c>
      <c r="C37" s="187"/>
      <c r="D37" s="187"/>
      <c r="E37" s="187"/>
      <c r="F37" s="298"/>
      <c r="G37" s="298"/>
      <c r="I37" s="294"/>
      <c r="J37" s="294"/>
      <c r="K37" s="294"/>
    </row>
    <row r="38" spans="1:11">
      <c r="D38" s="314" t="s">
        <v>85</v>
      </c>
      <c r="E38" s="36" t="s">
        <v>246</v>
      </c>
      <c r="F38" s="315">
        <v>0.06</v>
      </c>
      <c r="G38" s="36" t="s">
        <v>247</v>
      </c>
      <c r="I38" s="294"/>
      <c r="J38" s="294"/>
      <c r="K38" s="294"/>
    </row>
    <row r="39" spans="1:11" ht="16">
      <c r="B39" s="319" t="s">
        <v>86</v>
      </c>
      <c r="C39" s="319" t="s">
        <v>248</v>
      </c>
      <c r="D39" s="320" t="s">
        <v>90</v>
      </c>
      <c r="E39" s="319" t="s">
        <v>88</v>
      </c>
      <c r="F39" s="319" t="s">
        <v>246</v>
      </c>
      <c r="G39" s="319" t="s">
        <v>249</v>
      </c>
      <c r="I39" s="294"/>
      <c r="J39" s="294"/>
      <c r="K39" s="294"/>
    </row>
    <row r="40" spans="1:11">
      <c r="B40" s="36">
        <v>2015</v>
      </c>
      <c r="C40" s="36">
        <v>100</v>
      </c>
      <c r="D40" s="323">
        <f>+G13</f>
        <v>300000</v>
      </c>
      <c r="E40" s="36">
        <v>4</v>
      </c>
      <c r="F40" s="273">
        <f>+(1+$F$38)^E40</f>
        <v>1.2624769600000003</v>
      </c>
      <c r="G40" s="324">
        <f>+F40*D40</f>
        <v>378743.08800000011</v>
      </c>
      <c r="I40" s="294"/>
      <c r="J40" s="294"/>
      <c r="K40" s="294"/>
    </row>
    <row r="41" spans="1:11">
      <c r="B41" s="36">
        <v>2016</v>
      </c>
      <c r="C41" s="36">
        <v>100</v>
      </c>
      <c r="D41" s="323">
        <f>+G14</f>
        <v>375000</v>
      </c>
      <c r="E41" s="36">
        <v>3</v>
      </c>
      <c r="F41" s="273">
        <f t="shared" ref="F41:F42" si="0">+(1+$F$38)^E41</f>
        <v>1.1910160000000003</v>
      </c>
      <c r="G41" s="324">
        <f>+F41*D41</f>
        <v>446631.00000000012</v>
      </c>
      <c r="I41" s="294"/>
      <c r="J41" s="294"/>
      <c r="K41" s="294"/>
    </row>
    <row r="42" spans="1:11">
      <c r="B42" s="327">
        <v>2017</v>
      </c>
      <c r="C42" s="327">
        <v>100</v>
      </c>
      <c r="D42" s="323">
        <f>+G15</f>
        <v>450000</v>
      </c>
      <c r="E42" s="36">
        <v>2</v>
      </c>
      <c r="F42" s="273">
        <f t="shared" si="0"/>
        <v>1.1236000000000002</v>
      </c>
      <c r="G42" s="324">
        <f>+F42*D42</f>
        <v>505620.00000000006</v>
      </c>
      <c r="I42" s="294"/>
      <c r="J42" s="294"/>
      <c r="K42" s="294"/>
    </row>
    <row r="43" spans="1:11">
      <c r="B43" s="36" t="s">
        <v>91</v>
      </c>
      <c r="C43" s="36">
        <f>+C42+C41+C40</f>
        <v>300</v>
      </c>
      <c r="D43" s="323">
        <f>+G16</f>
        <v>1125000</v>
      </c>
      <c r="G43" s="277">
        <f>+G42+G41+G40</f>
        <v>1330994.0880000005</v>
      </c>
      <c r="I43" s="294"/>
      <c r="J43" s="294"/>
      <c r="K43" s="294"/>
    </row>
    <row r="44" spans="1:11">
      <c r="I44" s="294"/>
      <c r="J44" s="294"/>
      <c r="K44" s="294"/>
    </row>
    <row r="45" spans="1:11">
      <c r="A45" s="305"/>
      <c r="B45" s="1" t="s">
        <v>250</v>
      </c>
      <c r="D45" s="277">
        <f>+G43</f>
        <v>1330994.0880000005</v>
      </c>
      <c r="E45" s="328" t="s">
        <v>251</v>
      </c>
      <c r="F45" s="329">
        <f>+G35</f>
        <v>1050000</v>
      </c>
      <c r="G45" s="330">
        <f>+D45/F45</f>
        <v>1.2676134171428575</v>
      </c>
      <c r="H45" s="331">
        <f>+G45-1</f>
        <v>0.26761341714285747</v>
      </c>
      <c r="I45" s="294"/>
      <c r="J45" s="294"/>
      <c r="K45" s="294"/>
    </row>
    <row r="46" spans="1:11">
      <c r="A46" s="305"/>
      <c r="B46" s="1" t="s">
        <v>252</v>
      </c>
      <c r="D46" s="335" t="s">
        <v>253</v>
      </c>
      <c r="F46" s="187"/>
      <c r="G46" s="331">
        <f>SQRT(E16/2000)</f>
        <v>0.3872983346207417</v>
      </c>
      <c r="H46" s="279"/>
      <c r="I46" s="294"/>
      <c r="J46" s="294"/>
      <c r="K46" s="294"/>
    </row>
    <row r="47" spans="1:11">
      <c r="A47" s="305"/>
      <c r="B47" s="1" t="s">
        <v>254</v>
      </c>
      <c r="D47" s="1" t="s">
        <v>255</v>
      </c>
      <c r="G47" s="338">
        <f>+G46*G45+1-G46</f>
        <v>1.1036462307815946</v>
      </c>
      <c r="H47" s="331">
        <f>+G47-1</f>
        <v>0.10364623078159463</v>
      </c>
      <c r="I47" s="294"/>
      <c r="J47" s="294"/>
      <c r="K47" s="294"/>
    </row>
    <row r="48" spans="1:11">
      <c r="A48" s="305"/>
      <c r="B48" s="1" t="s">
        <v>256</v>
      </c>
      <c r="D48" s="1" t="s">
        <v>257</v>
      </c>
      <c r="G48" s="340">
        <f>+G47*500000</f>
        <v>551823.11539079726</v>
      </c>
      <c r="H48" s="306"/>
      <c r="I48" s="294"/>
      <c r="J48" s="294"/>
      <c r="K48" s="294"/>
    </row>
    <row r="49" spans="1:11">
      <c r="A49" s="187"/>
      <c r="B49" s="187"/>
      <c r="C49" s="187"/>
      <c r="D49" s="187"/>
      <c r="E49" s="342"/>
      <c r="F49" s="343"/>
      <c r="G49" s="187"/>
      <c r="H49" s="187"/>
      <c r="I49" s="294"/>
      <c r="J49" s="294"/>
      <c r="K49" s="294"/>
    </row>
    <row r="50" spans="1:11">
      <c r="A50" s="187"/>
      <c r="B50" s="187"/>
      <c r="C50" s="187"/>
      <c r="D50" s="187"/>
      <c r="E50" s="342"/>
      <c r="F50" s="343"/>
      <c r="G50" s="187"/>
      <c r="H50" s="187"/>
      <c r="I50" s="294"/>
      <c r="J50" s="294"/>
      <c r="K50" s="294"/>
    </row>
    <row r="51" spans="1:11">
      <c r="I51" s="294"/>
      <c r="J51" s="294"/>
      <c r="K51" s="294"/>
    </row>
    <row r="52" spans="1:11">
      <c r="A52" s="346"/>
      <c r="B52" s="298"/>
      <c r="C52" s="298"/>
      <c r="D52" s="300"/>
      <c r="E52" s="298"/>
      <c r="F52" s="298"/>
      <c r="G52" s="298"/>
      <c r="H52" s="298"/>
      <c r="I52" s="294"/>
      <c r="J52" s="294"/>
      <c r="K52" s="294"/>
    </row>
    <row r="53" spans="1:11">
      <c r="A53" s="294"/>
      <c r="B53" s="294"/>
      <c r="C53" s="294"/>
      <c r="D53" s="294"/>
      <c r="E53" s="294"/>
      <c r="F53" s="294"/>
      <c r="G53" s="294"/>
      <c r="H53" s="294"/>
      <c r="I53" s="294"/>
      <c r="J53" s="294"/>
      <c r="K53" s="294"/>
    </row>
    <row r="54" spans="1:11">
      <c r="A54" s="294"/>
      <c r="B54" s="294"/>
      <c r="C54" s="294"/>
      <c r="D54" s="294"/>
      <c r="E54" s="294"/>
      <c r="F54" s="294"/>
      <c r="G54" s="294"/>
      <c r="H54" s="294"/>
      <c r="I54" s="294"/>
      <c r="J54" s="294"/>
      <c r="K54" s="294"/>
    </row>
    <row r="55" spans="1:11">
      <c r="A55" s="294"/>
      <c r="B55" s="294"/>
      <c r="C55" s="294"/>
      <c r="D55" s="294"/>
      <c r="E55" s="294"/>
      <c r="F55" s="294"/>
      <c r="G55" s="294"/>
      <c r="H55" s="294"/>
      <c r="I55" s="294"/>
      <c r="J55" s="294"/>
      <c r="K55" s="294"/>
    </row>
    <row r="56" spans="1:11">
      <c r="A56" s="294"/>
      <c r="B56" s="294"/>
      <c r="C56" s="294"/>
      <c r="D56" s="294"/>
      <c r="E56" s="294"/>
      <c r="F56" s="294"/>
      <c r="G56" s="294"/>
      <c r="H56" s="294"/>
      <c r="I56" s="294"/>
      <c r="J56" s="294"/>
      <c r="K56" s="294"/>
    </row>
    <row r="57" spans="1:11">
      <c r="A57" s="294"/>
      <c r="B57" s="294"/>
      <c r="C57" s="294"/>
      <c r="D57" s="294"/>
      <c r="E57" s="294"/>
      <c r="F57" s="294"/>
      <c r="G57" s="294"/>
      <c r="H57" s="294"/>
      <c r="I57" s="294"/>
      <c r="J57" s="294"/>
      <c r="K57" s="294"/>
    </row>
  </sheetData>
  <conditionalFormatting sqref="A34:H34">
    <cfRule type="expression" dxfId="3" priority="2">
      <formula>CELL("protect",A34)=1</formula>
    </cfRule>
  </conditionalFormatting>
  <conditionalFormatting sqref="A52:H52">
    <cfRule type="expression" dxfId="2" priority="1">
      <formula>CELL("protect",A52)=1</formula>
    </cfRule>
  </conditionalFormatting>
  <conditionalFormatting sqref="T7 M7:Q30 S7:S30 A34:C34">
    <cfRule type="expression" dxfId="1" priority="7">
      <formula>CELL("protect",A7)=1</formula>
    </cfRule>
  </conditionalFormatting>
  <conditionalFormatting sqref="V30:AB30">
    <cfRule type="expression" dxfId="0" priority="12">
      <formula>CELL("protect",V30)=1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D4F16-E74D-4D36-8809-77D75EE0DBE9}">
  <dimension ref="A1:M17"/>
  <sheetViews>
    <sheetView zoomScale="90" zoomScaleNormal="90" workbookViewId="0"/>
  </sheetViews>
  <sheetFormatPr defaultColWidth="8.7265625" defaultRowHeight="14.5"/>
  <cols>
    <col min="1" max="1" width="9.453125" style="1" bestFit="1" customWidth="1"/>
    <col min="2" max="2" width="3.453125" style="1" customWidth="1"/>
    <col min="3" max="16384" width="8.7265625" style="1"/>
  </cols>
  <sheetData>
    <row r="1" spans="1:13">
      <c r="A1" s="135" t="s">
        <v>132</v>
      </c>
      <c r="B1" s="1" t="s">
        <v>0</v>
      </c>
    </row>
    <row r="2" spans="1:13">
      <c r="A2" s="135" t="s">
        <v>133</v>
      </c>
      <c r="B2" s="1" t="s">
        <v>258</v>
      </c>
    </row>
    <row r="3" spans="1:13">
      <c r="A3" s="135" t="s">
        <v>135</v>
      </c>
      <c r="B3" s="1" t="s">
        <v>136</v>
      </c>
    </row>
    <row r="4" spans="1:13">
      <c r="A4" s="135" t="s">
        <v>137</v>
      </c>
      <c r="B4" s="1" t="s">
        <v>259</v>
      </c>
    </row>
    <row r="5" spans="1:13">
      <c r="A5" s="135" t="s">
        <v>139</v>
      </c>
      <c r="B5" s="1" t="s">
        <v>260</v>
      </c>
    </row>
    <row r="7" spans="1:13">
      <c r="A7" s="1" t="s">
        <v>96</v>
      </c>
    </row>
    <row r="9" spans="1:13">
      <c r="B9" s="1" t="s">
        <v>9</v>
      </c>
      <c r="C9" s="1" t="s">
        <v>97</v>
      </c>
      <c r="D9" s="137"/>
      <c r="E9" s="137"/>
      <c r="F9" s="137"/>
      <c r="G9" s="137"/>
      <c r="H9" s="137"/>
      <c r="I9" s="137"/>
      <c r="J9" s="137"/>
      <c r="K9" s="137"/>
    </row>
    <row r="11" spans="1:13">
      <c r="A11" s="129"/>
      <c r="B11" s="1" t="s">
        <v>10</v>
      </c>
      <c r="C11" s="1" t="s">
        <v>98</v>
      </c>
    </row>
    <row r="12" spans="1:13">
      <c r="A12" s="129"/>
    </row>
    <row r="13" spans="1:13">
      <c r="A13" s="129"/>
      <c r="B13" s="496" t="s">
        <v>11</v>
      </c>
      <c r="C13" s="496" t="s">
        <v>99</v>
      </c>
      <c r="D13" s="496"/>
      <c r="E13" s="496"/>
      <c r="F13" s="496"/>
      <c r="G13" s="496"/>
      <c r="H13" s="496"/>
      <c r="I13" s="496"/>
      <c r="J13" s="496"/>
      <c r="K13" s="496"/>
      <c r="L13" s="496"/>
      <c r="M13" s="496"/>
    </row>
    <row r="14" spans="1:13">
      <c r="A14" s="129"/>
    </row>
    <row r="15" spans="1:13">
      <c r="A15" s="129"/>
      <c r="B15" s="496" t="s">
        <v>12</v>
      </c>
      <c r="C15" s="496" t="s">
        <v>100</v>
      </c>
      <c r="D15" s="496"/>
      <c r="E15" s="496"/>
      <c r="F15" s="496"/>
      <c r="G15" s="496"/>
      <c r="H15" s="496"/>
      <c r="I15" s="496"/>
    </row>
    <row r="17" spans="2:10">
      <c r="B17" s="496" t="s">
        <v>101</v>
      </c>
      <c r="C17" s="496" t="s">
        <v>102</v>
      </c>
      <c r="D17" s="496"/>
      <c r="E17" s="496"/>
      <c r="F17" s="496"/>
      <c r="G17" s="496"/>
      <c r="H17" s="496"/>
      <c r="I17" s="496"/>
      <c r="J17" s="49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8FFD-FB4C-4A7B-81AD-099DB867A900}">
  <dimension ref="A1:AA75"/>
  <sheetViews>
    <sheetView zoomScale="90" zoomScaleNormal="90" workbookViewId="0"/>
  </sheetViews>
  <sheetFormatPr defaultColWidth="8.7265625" defaultRowHeight="14.5"/>
  <cols>
    <col min="1" max="1" width="13.26953125" style="1" bestFit="1" customWidth="1"/>
    <col min="2" max="6" width="15.453125" style="1" customWidth="1"/>
    <col min="7" max="7" width="8.7265625" style="1"/>
    <col min="8" max="8" width="17.54296875" style="1" customWidth="1"/>
    <col min="9" max="9" width="8.7265625" style="1"/>
    <col min="10" max="10" width="13.453125" style="1" customWidth="1"/>
    <col min="11" max="27" width="8.7265625" style="1"/>
    <col min="28" max="28" width="14" style="1" customWidth="1"/>
    <col min="29" max="16384" width="8.7265625" style="1"/>
  </cols>
  <sheetData>
    <row r="1" spans="1:27">
      <c r="A1" s="135" t="s">
        <v>132</v>
      </c>
      <c r="B1" s="1" t="s">
        <v>14</v>
      </c>
    </row>
    <row r="2" spans="1:27">
      <c r="A2" s="135" t="s">
        <v>133</v>
      </c>
      <c r="B2" s="1" t="s">
        <v>148</v>
      </c>
    </row>
    <row r="3" spans="1:27">
      <c r="A3" s="135" t="s">
        <v>135</v>
      </c>
      <c r="B3" s="1" t="s">
        <v>261</v>
      </c>
    </row>
    <row r="4" spans="1:27" ht="29.65" customHeight="1">
      <c r="A4" s="135" t="s">
        <v>137</v>
      </c>
      <c r="B4" s="507" t="s">
        <v>262</v>
      </c>
      <c r="C4" s="507"/>
      <c r="D4" s="507"/>
      <c r="E4" s="507"/>
      <c r="F4" s="507"/>
      <c r="G4" s="507"/>
      <c r="H4" s="507"/>
      <c r="I4" s="507"/>
      <c r="J4" s="507"/>
      <c r="K4" s="507"/>
      <c r="L4" s="507"/>
      <c r="M4" s="507"/>
      <c r="N4" s="495"/>
      <c r="O4" s="495"/>
      <c r="P4" s="495"/>
      <c r="Q4" s="495"/>
      <c r="R4" s="495"/>
      <c r="S4" s="495"/>
    </row>
    <row r="5" spans="1:27">
      <c r="A5" s="135" t="s">
        <v>139</v>
      </c>
      <c r="B5" s="61" t="s">
        <v>178</v>
      </c>
    </row>
    <row r="6" spans="1:27" s="187" customFormat="1">
      <c r="A6" s="356"/>
      <c r="B6" s="142"/>
      <c r="C6" s="142"/>
      <c r="D6" s="142"/>
      <c r="E6" s="142"/>
      <c r="F6" s="142"/>
      <c r="G6" s="354"/>
      <c r="H6" s="355"/>
      <c r="I6" s="304"/>
    </row>
    <row r="7" spans="1:27" s="187" customFormat="1">
      <c r="A7" s="146"/>
      <c r="B7" s="264" t="s">
        <v>40</v>
      </c>
      <c r="C7" s="147"/>
      <c r="D7" s="147"/>
      <c r="E7" s="147"/>
      <c r="F7" s="147"/>
      <c r="G7" s="354"/>
      <c r="H7" s="355"/>
      <c r="I7" s="304"/>
    </row>
    <row r="8" spans="1:27" s="187" customFormat="1">
      <c r="A8" s="146"/>
      <c r="B8" s="142"/>
      <c r="C8" s="142"/>
      <c r="D8" s="142"/>
      <c r="E8" s="142"/>
      <c r="F8" s="142"/>
      <c r="G8" s="354"/>
      <c r="H8" s="355"/>
      <c r="I8" s="266"/>
    </row>
    <row r="9" spans="1:27" s="187" customFormat="1">
      <c r="A9" s="146"/>
      <c r="B9" s="461" t="s">
        <v>106</v>
      </c>
      <c r="C9" s="524" t="s">
        <v>107</v>
      </c>
      <c r="D9" s="525"/>
      <c r="E9" s="525"/>
      <c r="F9" s="526"/>
      <c r="G9" s="354"/>
      <c r="H9" s="355"/>
      <c r="I9" s="266"/>
      <c r="AA9" s="266"/>
    </row>
    <row r="10" spans="1:27" s="187" customFormat="1">
      <c r="A10" s="146"/>
      <c r="B10" s="469" t="s">
        <v>109</v>
      </c>
      <c r="C10" s="462">
        <v>12</v>
      </c>
      <c r="D10" s="365">
        <f>C10+12</f>
        <v>24</v>
      </c>
      <c r="E10" s="365">
        <f>D10+12</f>
        <v>36</v>
      </c>
      <c r="F10" s="463">
        <f>E10+12</f>
        <v>48</v>
      </c>
      <c r="G10" s="354"/>
      <c r="H10" s="355"/>
      <c r="I10" s="266"/>
      <c r="AA10" s="266"/>
    </row>
    <row r="11" spans="1:27" s="187" customFormat="1">
      <c r="A11" s="146"/>
      <c r="B11" s="461">
        <v>2020</v>
      </c>
      <c r="C11" s="464">
        <v>28199.25</v>
      </c>
      <c r="D11" s="370">
        <v>36042.75</v>
      </c>
      <c r="E11" s="370">
        <v>39165.21</v>
      </c>
      <c r="F11" s="465">
        <v>39891.891600000003</v>
      </c>
      <c r="G11" s="354"/>
      <c r="H11" s="355"/>
      <c r="I11" s="266"/>
      <c r="AA11" s="266"/>
    </row>
    <row r="12" spans="1:27" s="187" customFormat="1">
      <c r="A12" s="146"/>
      <c r="B12" s="470">
        <f>B11+1</f>
        <v>2021</v>
      </c>
      <c r="C12" s="464">
        <v>28703.016</v>
      </c>
      <c r="D12" s="370">
        <v>37310.153999999995</v>
      </c>
      <c r="E12" s="370">
        <v>40497.996839999993</v>
      </c>
      <c r="F12" s="465"/>
      <c r="G12" s="354"/>
      <c r="H12" s="355"/>
      <c r="I12" s="266"/>
      <c r="AA12" s="266"/>
    </row>
    <row r="13" spans="1:27" s="187" customFormat="1">
      <c r="A13" s="146"/>
      <c r="B13" s="470">
        <f t="shared" ref="B13:B14" si="0">B12+1</f>
        <v>2022</v>
      </c>
      <c r="C13" s="464">
        <v>29438.730000000003</v>
      </c>
      <c r="D13" s="370">
        <v>37096.648000000001</v>
      </c>
      <c r="E13" s="370"/>
      <c r="F13" s="465"/>
      <c r="G13" s="354"/>
      <c r="H13" s="355"/>
      <c r="I13" s="266"/>
      <c r="AA13" s="266"/>
    </row>
    <row r="14" spans="1:27" s="187" customFormat="1">
      <c r="A14" s="146"/>
      <c r="B14" s="470">
        <f t="shared" si="0"/>
        <v>2023</v>
      </c>
      <c r="C14" s="466">
        <v>29665.463</v>
      </c>
      <c r="D14" s="467"/>
      <c r="E14" s="467"/>
      <c r="F14" s="468"/>
      <c r="G14" s="354"/>
      <c r="H14" s="355"/>
      <c r="I14" s="266"/>
      <c r="AA14" s="266"/>
    </row>
    <row r="15" spans="1:27" s="187" customFormat="1">
      <c r="A15" s="146"/>
      <c r="B15" s="374"/>
      <c r="C15" s="370"/>
      <c r="D15" s="170"/>
      <c r="E15" s="170"/>
      <c r="F15" s="170"/>
      <c r="G15" s="354"/>
      <c r="H15" s="355"/>
      <c r="I15" s="266"/>
      <c r="AA15" s="266"/>
    </row>
    <row r="16" spans="1:27" s="187" customFormat="1">
      <c r="A16" s="146"/>
      <c r="B16" s="360" t="s">
        <v>106</v>
      </c>
      <c r="C16" s="527" t="s">
        <v>110</v>
      </c>
      <c r="D16" s="528"/>
      <c r="E16" s="528"/>
      <c r="F16" s="529"/>
      <c r="G16" s="354"/>
      <c r="H16" s="355"/>
      <c r="I16" s="266"/>
    </row>
    <row r="17" spans="1:27" s="187" customFormat="1">
      <c r="A17" s="146"/>
      <c r="B17" s="153" t="s">
        <v>109</v>
      </c>
      <c r="C17" s="364">
        <v>12</v>
      </c>
      <c r="D17" s="365">
        <f>C17+12</f>
        <v>24</v>
      </c>
      <c r="E17" s="365">
        <f>D17+12</f>
        <v>36</v>
      </c>
      <c r="F17" s="376">
        <f>E17+12</f>
        <v>48</v>
      </c>
      <c r="G17" s="354"/>
      <c r="H17" s="355"/>
      <c r="I17" s="266"/>
    </row>
    <row r="18" spans="1:27" s="187" customFormat="1">
      <c r="A18" s="146"/>
      <c r="B18" s="360">
        <f>B11</f>
        <v>2020</v>
      </c>
      <c r="C18" s="370">
        <v>9524.25</v>
      </c>
      <c r="D18" s="370">
        <v>21849.75</v>
      </c>
      <c r="E18" s="370">
        <v>30081.69</v>
      </c>
      <c r="F18" s="377">
        <v>34441.779600000002</v>
      </c>
      <c r="G18" s="354"/>
      <c r="H18" s="355"/>
      <c r="I18" s="266"/>
      <c r="AA18" s="266"/>
    </row>
    <row r="19" spans="1:27" s="187" customFormat="1">
      <c r="A19" s="146"/>
      <c r="B19" s="371">
        <f t="shared" ref="B19:B21" si="1">B12</f>
        <v>2021</v>
      </c>
      <c r="C19" s="370">
        <v>9869.0159999999996</v>
      </c>
      <c r="D19" s="370">
        <v>22619.633999999998</v>
      </c>
      <c r="E19" s="370">
        <v>30949.158839999996</v>
      </c>
      <c r="F19" s="377"/>
      <c r="G19" s="354"/>
      <c r="H19" s="355"/>
      <c r="I19" s="266"/>
      <c r="AA19" s="266"/>
    </row>
    <row r="20" spans="1:27" s="187" customFormat="1">
      <c r="A20" s="146"/>
      <c r="B20" s="371">
        <f t="shared" si="1"/>
        <v>2022</v>
      </c>
      <c r="C20" s="370">
        <v>10197.730000000001</v>
      </c>
      <c r="D20" s="370">
        <v>22858.308000000005</v>
      </c>
      <c r="E20" s="370"/>
      <c r="F20" s="377"/>
      <c r="G20" s="354"/>
      <c r="H20" s="355"/>
      <c r="I20" s="266"/>
      <c r="AA20" s="266"/>
    </row>
    <row r="21" spans="1:27" s="187" customFormat="1">
      <c r="A21" s="146"/>
      <c r="B21" s="153">
        <f t="shared" si="1"/>
        <v>2023</v>
      </c>
      <c r="C21" s="380">
        <v>10032.463</v>
      </c>
      <c r="D21" s="380"/>
      <c r="E21" s="380"/>
      <c r="F21" s="381"/>
      <c r="G21" s="354"/>
      <c r="H21" s="355"/>
      <c r="I21" s="266"/>
      <c r="AA21" s="266"/>
    </row>
    <row r="22" spans="1:27" s="187" customFormat="1">
      <c r="A22" s="146"/>
      <c r="B22" s="382"/>
      <c r="C22" s="383"/>
      <c r="D22" s="370"/>
      <c r="E22" s="370"/>
      <c r="F22" s="370"/>
      <c r="G22" s="354"/>
      <c r="H22" s="355"/>
      <c r="I22" s="266"/>
      <c r="AA22" s="266"/>
    </row>
    <row r="23" spans="1:27" s="187" customFormat="1">
      <c r="A23" s="161"/>
      <c r="B23" s="523" t="s">
        <v>263</v>
      </c>
      <c r="C23" s="523"/>
      <c r="D23" s="523"/>
      <c r="E23" s="523"/>
      <c r="F23" s="523"/>
      <c r="G23" s="354"/>
      <c r="H23" s="355"/>
      <c r="I23" s="266"/>
    </row>
    <row r="24" spans="1:27" s="187" customFormat="1">
      <c r="A24" s="161"/>
      <c r="B24" s="523" t="s">
        <v>264</v>
      </c>
      <c r="C24" s="523"/>
      <c r="D24" s="523"/>
      <c r="E24" s="523"/>
      <c r="F24" s="523"/>
      <c r="G24" s="354"/>
      <c r="H24" s="355"/>
      <c r="I24" s="266"/>
    </row>
    <row r="25" spans="1:27" s="187" customFormat="1">
      <c r="A25" s="271"/>
      <c r="B25" s="298"/>
      <c r="C25" s="298"/>
      <c r="D25" s="300"/>
      <c r="E25" s="298"/>
      <c r="F25" s="298"/>
      <c r="G25" s="298"/>
      <c r="H25" s="298"/>
      <c r="I25" s="266"/>
      <c r="AA25" s="266"/>
    </row>
    <row r="26" spans="1:27" s="419" customFormat="1">
      <c r="A26" s="471" t="s">
        <v>265</v>
      </c>
      <c r="D26" s="472"/>
      <c r="G26" s="419" t="s">
        <v>266</v>
      </c>
    </row>
    <row r="27" spans="1:27" s="187" customFormat="1">
      <c r="A27" s="298"/>
      <c r="B27" s="358" t="s">
        <v>267</v>
      </c>
      <c r="C27" s="358"/>
      <c r="D27" s="359"/>
      <c r="E27" s="358"/>
      <c r="F27" s="298"/>
      <c r="G27" s="298"/>
      <c r="I27" s="187" t="s">
        <v>268</v>
      </c>
      <c r="AA27" s="266"/>
    </row>
    <row r="28" spans="1:27" s="187" customFormat="1">
      <c r="A28" s="361" t="s">
        <v>44</v>
      </c>
      <c r="B28" s="361">
        <v>12</v>
      </c>
      <c r="C28" s="361">
        <v>24</v>
      </c>
      <c r="D28" s="361"/>
      <c r="E28" s="361"/>
      <c r="F28" s="298"/>
      <c r="G28" s="298"/>
      <c r="H28" s="361" t="s">
        <v>44</v>
      </c>
      <c r="I28" s="362" t="s">
        <v>186</v>
      </c>
      <c r="J28" s="362" t="s">
        <v>187</v>
      </c>
      <c r="K28" s="363" t="s">
        <v>188</v>
      </c>
      <c r="AA28" s="266"/>
    </row>
    <row r="29" spans="1:27" s="187" customFormat="1">
      <c r="A29" s="366">
        <v>2020</v>
      </c>
      <c r="B29" s="367">
        <f t="shared" ref="B29:C31" si="2">C11-C18</f>
        <v>18675</v>
      </c>
      <c r="C29" s="367">
        <f t="shared" si="2"/>
        <v>14193</v>
      </c>
      <c r="D29" s="368"/>
      <c r="E29" s="368"/>
      <c r="F29" s="298"/>
      <c r="G29" s="298"/>
      <c r="H29" s="187">
        <f>A29</f>
        <v>2020</v>
      </c>
      <c r="I29" s="369">
        <f>D11/C11</f>
        <v>1.2781456953642385</v>
      </c>
      <c r="J29" s="369">
        <f>E11/D11</f>
        <v>1.0866321243523316</v>
      </c>
      <c r="K29" s="369">
        <f>F11/E11</f>
        <v>1.018554262826626</v>
      </c>
      <c r="AA29" s="266"/>
    </row>
    <row r="30" spans="1:27" s="187" customFormat="1">
      <c r="A30" s="366">
        <f>A29+1</f>
        <v>2021</v>
      </c>
      <c r="B30" s="367">
        <f t="shared" si="2"/>
        <v>18834</v>
      </c>
      <c r="C30" s="367">
        <f t="shared" si="2"/>
        <v>14690.519999999997</v>
      </c>
      <c r="D30" s="368"/>
      <c r="E30" s="368"/>
      <c r="F30" s="298"/>
      <c r="G30" s="298"/>
      <c r="H30" s="187">
        <f>A30</f>
        <v>2021</v>
      </c>
      <c r="I30" s="369">
        <f>D12/C12</f>
        <v>1.2998687664041992</v>
      </c>
      <c r="J30" s="369">
        <f>E12/D12</f>
        <v>1.0854416961130742</v>
      </c>
      <c r="K30" s="369"/>
      <c r="AA30" s="266"/>
    </row>
    <row r="31" spans="1:27" s="187" customFormat="1">
      <c r="A31" s="366">
        <f>A30+1</f>
        <v>2022</v>
      </c>
      <c r="B31" s="367">
        <f t="shared" si="2"/>
        <v>19241</v>
      </c>
      <c r="C31" s="367">
        <f t="shared" si="2"/>
        <v>14238.339999999997</v>
      </c>
      <c r="D31" s="372"/>
      <c r="E31" s="366"/>
      <c r="F31" s="298"/>
      <c r="G31" s="298"/>
      <c r="H31" s="187">
        <f>A31</f>
        <v>2022</v>
      </c>
      <c r="I31" s="369">
        <f>D13/C13</f>
        <v>1.2601307189542483</v>
      </c>
      <c r="J31" s="369"/>
      <c r="K31" s="369"/>
    </row>
    <row r="32" spans="1:27" s="187" customFormat="1">
      <c r="A32" s="366">
        <f>A31+1</f>
        <v>2023</v>
      </c>
      <c r="B32" s="367">
        <f>C14-C21</f>
        <v>19633</v>
      </c>
      <c r="C32" s="367"/>
      <c r="D32" s="372"/>
      <c r="E32" s="366"/>
      <c r="F32" s="298"/>
      <c r="G32" s="298"/>
      <c r="I32" s="369"/>
      <c r="J32" s="369"/>
      <c r="K32" s="369"/>
    </row>
    <row r="33" spans="1:27" s="187" customFormat="1">
      <c r="A33" s="298"/>
      <c r="B33" s="366"/>
      <c r="C33" s="366"/>
      <c r="D33" s="373"/>
      <c r="E33" s="366"/>
      <c r="F33" s="298"/>
      <c r="G33" s="298"/>
      <c r="H33" s="187" t="s">
        <v>269</v>
      </c>
      <c r="I33" s="369">
        <f>AVERAGE(I29:I31)</f>
        <v>1.279381726907562</v>
      </c>
      <c r="J33" s="369">
        <f>AVERAGE(J29:J31)</f>
        <v>1.086036910232703</v>
      </c>
      <c r="K33" s="369">
        <f t="shared" ref="K33" si="3">AVERAGE(K29:K31)</f>
        <v>1.018554262826626</v>
      </c>
      <c r="AA33" s="266"/>
    </row>
    <row r="34" spans="1:27" s="187" customFormat="1">
      <c r="A34" s="298"/>
      <c r="B34" s="375"/>
      <c r="C34" s="375"/>
      <c r="D34" s="375"/>
      <c r="E34" s="375"/>
      <c r="F34" s="298"/>
      <c r="G34" s="298"/>
      <c r="H34" s="187" t="s">
        <v>270</v>
      </c>
      <c r="I34" s="369">
        <f>I33*J34</f>
        <v>1.4152361053842673</v>
      </c>
      <c r="J34" s="369">
        <f>J33*K34</f>
        <v>1.1061875245045774</v>
      </c>
      <c r="K34" s="369">
        <f>K33</f>
        <v>1.018554262826626</v>
      </c>
    </row>
    <row r="35" spans="1:27" s="187" customFormat="1">
      <c r="A35" s="357"/>
      <c r="B35" s="298"/>
      <c r="C35" s="298"/>
      <c r="D35" s="298"/>
      <c r="E35" s="298"/>
      <c r="F35" s="298"/>
      <c r="G35" s="298"/>
    </row>
    <row r="36" spans="1:27" s="187" customFormat="1">
      <c r="A36" s="298"/>
      <c r="E36" s="361"/>
      <c r="F36" s="298"/>
      <c r="G36" s="298"/>
      <c r="I36" s="187" t="s">
        <v>271</v>
      </c>
      <c r="AA36" s="266"/>
    </row>
    <row r="37" spans="1:27" s="187" customFormat="1">
      <c r="A37" s="361" t="s">
        <v>44</v>
      </c>
      <c r="B37" s="361" t="s">
        <v>186</v>
      </c>
      <c r="C37" s="361"/>
      <c r="D37" s="361"/>
      <c r="E37" s="375"/>
      <c r="F37" s="298"/>
      <c r="G37" s="298"/>
      <c r="H37" s="361" t="s">
        <v>44</v>
      </c>
      <c r="I37" s="362" t="s">
        <v>186</v>
      </c>
      <c r="J37" s="362" t="s">
        <v>187</v>
      </c>
      <c r="K37" s="363" t="s">
        <v>188</v>
      </c>
    </row>
    <row r="38" spans="1:27" s="187" customFormat="1">
      <c r="A38" s="366">
        <f>A29</f>
        <v>2020</v>
      </c>
      <c r="B38" s="366">
        <f>C29/B29</f>
        <v>0.76</v>
      </c>
      <c r="C38" s="378"/>
      <c r="D38" s="378"/>
      <c r="E38" s="375"/>
      <c r="F38" s="298"/>
      <c r="G38" s="298"/>
      <c r="H38" s="187">
        <f>A38</f>
        <v>2020</v>
      </c>
      <c r="I38" s="369">
        <f>D18/C18</f>
        <v>2.2941176470588234</v>
      </c>
      <c r="J38" s="369">
        <f>E18/D18</f>
        <v>1.3767521367521367</v>
      </c>
      <c r="K38" s="369">
        <f>F18/E18</f>
        <v>1.1449416439036504</v>
      </c>
    </row>
    <row r="39" spans="1:27" s="187" customFormat="1">
      <c r="A39" s="366">
        <f>A30</f>
        <v>2021</v>
      </c>
      <c r="B39" s="378">
        <f>C30/B30</f>
        <v>0.7799999999999998</v>
      </c>
      <c r="C39" s="378"/>
      <c r="D39" s="378"/>
      <c r="E39" s="379"/>
      <c r="F39" s="298"/>
      <c r="G39" s="298"/>
      <c r="H39" s="187">
        <f>A39</f>
        <v>2021</v>
      </c>
      <c r="I39" s="369">
        <f>D19/C19</f>
        <v>2.2919847328244276</v>
      </c>
      <c r="J39" s="369">
        <f>E19/D19</f>
        <v>1.3682431307243963</v>
      </c>
      <c r="K39" s="369"/>
      <c r="AA39" s="266"/>
    </row>
    <row r="40" spans="1:27" s="187" customFormat="1">
      <c r="A40" s="366">
        <f>A31</f>
        <v>2022</v>
      </c>
      <c r="B40" s="378">
        <f>C31/B31</f>
        <v>0.73999999999999977</v>
      </c>
      <c r="C40" s="379"/>
      <c r="D40" s="379"/>
      <c r="E40" s="379"/>
      <c r="F40" s="298"/>
      <c r="G40" s="298"/>
      <c r="H40" s="187">
        <f>A40</f>
        <v>2022</v>
      </c>
      <c r="I40" s="369">
        <f>D20/C20</f>
        <v>2.2415094339622641</v>
      </c>
      <c r="J40" s="369"/>
      <c r="K40" s="369"/>
    </row>
    <row r="41" spans="1:27" s="187" customFormat="1">
      <c r="A41" s="366"/>
      <c r="B41" s="367"/>
      <c r="C41" s="379"/>
      <c r="D41" s="379"/>
      <c r="E41" s="379"/>
      <c r="F41" s="298"/>
      <c r="G41" s="298"/>
      <c r="I41" s="369"/>
      <c r="J41" s="369"/>
      <c r="K41" s="369"/>
    </row>
    <row r="42" spans="1:27" s="187" customFormat="1">
      <c r="A42" s="298" t="s">
        <v>191</v>
      </c>
      <c r="B42" s="366">
        <f>AVERAGE(B38:B40)</f>
        <v>0.75999999999999979</v>
      </c>
      <c r="C42" s="298"/>
      <c r="D42" s="298"/>
      <c r="E42" s="298"/>
      <c r="F42" s="298"/>
      <c r="G42" s="298"/>
      <c r="H42" s="187" t="s">
        <v>269</v>
      </c>
      <c r="I42" s="369">
        <f>AVERAGE(I38:I40)</f>
        <v>2.2758706046151715</v>
      </c>
      <c r="J42" s="369">
        <f>AVERAGE(J38:J40)</f>
        <v>1.3724976337382664</v>
      </c>
      <c r="K42" s="369">
        <f>AVERAGE(K38:K40)</f>
        <v>1.1449416439036504</v>
      </c>
      <c r="AA42" s="266"/>
    </row>
    <row r="43" spans="1:27" s="187" customFormat="1">
      <c r="A43" s="297"/>
      <c r="B43" s="375"/>
      <c r="C43" s="375"/>
      <c r="D43" s="375"/>
      <c r="E43" s="375"/>
      <c r="F43" s="384"/>
      <c r="G43" s="298"/>
      <c r="H43" s="187" t="s">
        <v>270</v>
      </c>
      <c r="I43" s="369">
        <f>I42*J43</f>
        <v>3.5763706546811647</v>
      </c>
      <c r="J43" s="369">
        <f>J42*K43</f>
        <v>1.571429697026161</v>
      </c>
      <c r="K43" s="369">
        <f>K42</f>
        <v>1.1449416439036504</v>
      </c>
    </row>
    <row r="44" spans="1:27" s="187" customFormat="1">
      <c r="A44" s="357"/>
      <c r="B44" s="375"/>
      <c r="C44" s="375"/>
      <c r="D44" s="375"/>
      <c r="E44" s="375"/>
      <c r="F44" s="298"/>
      <c r="G44" s="298"/>
    </row>
    <row r="45" spans="1:27" s="187" customFormat="1">
      <c r="A45" s="298"/>
      <c r="B45" s="358" t="s">
        <v>272</v>
      </c>
      <c r="C45" s="358"/>
      <c r="D45" s="359"/>
      <c r="E45" s="358"/>
      <c r="F45" s="298"/>
      <c r="G45" s="298"/>
      <c r="I45" s="187" t="s">
        <v>267</v>
      </c>
    </row>
    <row r="46" spans="1:27" s="187" customFormat="1">
      <c r="A46" s="361" t="s">
        <v>44</v>
      </c>
      <c r="B46" s="361">
        <v>12</v>
      </c>
      <c r="C46" s="361">
        <v>24</v>
      </c>
      <c r="D46" s="361"/>
      <c r="E46" s="361"/>
      <c r="F46" s="298"/>
      <c r="G46" s="298"/>
      <c r="H46" s="361" t="s">
        <v>44</v>
      </c>
      <c r="I46" s="362">
        <v>12</v>
      </c>
      <c r="J46" s="362">
        <v>24</v>
      </c>
      <c r="K46" s="362">
        <v>36</v>
      </c>
      <c r="L46" s="362">
        <v>48</v>
      </c>
    </row>
    <row r="47" spans="1:27" s="187" customFormat="1">
      <c r="A47" s="366">
        <f>A29</f>
        <v>2020</v>
      </c>
      <c r="B47" s="367">
        <f>C18</f>
        <v>9524.25</v>
      </c>
      <c r="C47" s="367">
        <f>D18-C18</f>
        <v>12325.5</v>
      </c>
      <c r="D47" s="368"/>
      <c r="E47" s="368"/>
      <c r="F47" s="298"/>
      <c r="H47" s="187">
        <f>A47</f>
        <v>2020</v>
      </c>
      <c r="I47" s="343">
        <f>C11-C18</f>
        <v>18675</v>
      </c>
      <c r="J47" s="343">
        <f>D11-D18</f>
        <v>14193</v>
      </c>
      <c r="K47" s="343">
        <f>E11-E18</f>
        <v>9083.52</v>
      </c>
      <c r="L47" s="343">
        <f>F11-F18</f>
        <v>5450.112000000001</v>
      </c>
    </row>
    <row r="48" spans="1:27" s="187" customFormat="1">
      <c r="A48" s="366">
        <f t="shared" ref="A48:A50" si="4">A30</f>
        <v>2021</v>
      </c>
      <c r="B48" s="367">
        <f>C19</f>
        <v>9869.0159999999996</v>
      </c>
      <c r="C48" s="367">
        <f>D19-C19</f>
        <v>12750.617999999999</v>
      </c>
      <c r="D48" s="368"/>
      <c r="E48" s="368"/>
      <c r="F48" s="358"/>
      <c r="G48" s="357"/>
      <c r="H48" s="187">
        <f>A48</f>
        <v>2021</v>
      </c>
      <c r="I48" s="343">
        <f>C12-C19</f>
        <v>18834</v>
      </c>
      <c r="J48" s="343">
        <f>D12-D19</f>
        <v>14690.519999999997</v>
      </c>
      <c r="K48" s="343">
        <f>E12-E19</f>
        <v>9548.8379999999961</v>
      </c>
      <c r="L48" s="343"/>
    </row>
    <row r="49" spans="1:17" s="187" customFormat="1">
      <c r="A49" s="366">
        <f t="shared" si="4"/>
        <v>2022</v>
      </c>
      <c r="B49" s="367">
        <f>C20</f>
        <v>10197.730000000001</v>
      </c>
      <c r="C49" s="367">
        <f>D20-C20</f>
        <v>12660.578000000003</v>
      </c>
      <c r="D49" s="372"/>
      <c r="E49" s="366"/>
      <c r="F49" s="366"/>
      <c r="G49" s="366"/>
      <c r="H49" s="187">
        <f>A49</f>
        <v>2022</v>
      </c>
      <c r="I49" s="343">
        <f>C13-C20</f>
        <v>19241</v>
      </c>
      <c r="J49" s="343">
        <f>D13-D20</f>
        <v>14238.339999999997</v>
      </c>
      <c r="K49" s="343"/>
      <c r="L49" s="343"/>
    </row>
    <row r="50" spans="1:17" s="187" customFormat="1">
      <c r="A50" s="366">
        <f t="shared" si="4"/>
        <v>2023</v>
      </c>
      <c r="B50" s="367">
        <f>C21</f>
        <v>10032.463</v>
      </c>
      <c r="C50" s="367"/>
      <c r="D50" s="372"/>
      <c r="E50" s="366"/>
      <c r="F50" s="366"/>
      <c r="G50" s="366"/>
      <c r="H50" s="187">
        <f>A50</f>
        <v>2023</v>
      </c>
      <c r="I50" s="343">
        <f>C14-C21</f>
        <v>19633</v>
      </c>
      <c r="J50" s="343"/>
      <c r="K50" s="343"/>
      <c r="L50" s="343"/>
    </row>
    <row r="51" spans="1:17" s="187" customFormat="1">
      <c r="A51" s="298"/>
      <c r="B51" s="366"/>
      <c r="C51" s="366"/>
      <c r="D51" s="366"/>
      <c r="E51" s="366"/>
      <c r="F51" s="366"/>
      <c r="G51" s="366"/>
      <c r="I51" s="369"/>
      <c r="J51" s="369"/>
      <c r="K51" s="369"/>
    </row>
    <row r="52" spans="1:17" s="187" customFormat="1">
      <c r="A52" s="357"/>
      <c r="B52" s="385"/>
      <c r="C52" s="361"/>
      <c r="D52" s="361"/>
      <c r="E52" s="361"/>
      <c r="F52" s="361"/>
      <c r="G52" s="361"/>
      <c r="H52" s="187" t="s">
        <v>273</v>
      </c>
      <c r="I52" s="369"/>
      <c r="J52" s="369"/>
      <c r="K52" s="369"/>
    </row>
    <row r="53" spans="1:17" s="187" customFormat="1">
      <c r="A53" s="498" t="s">
        <v>274</v>
      </c>
      <c r="B53" s="361"/>
      <c r="C53" s="361"/>
      <c r="D53" s="361"/>
      <c r="E53" s="361"/>
      <c r="F53" s="361"/>
      <c r="G53" s="361"/>
      <c r="H53" s="386">
        <f>(I34-1)*I43/(I43-I34)+1</f>
        <v>1.6871567633507736</v>
      </c>
      <c r="O53" s="142"/>
      <c r="P53" s="142"/>
      <c r="Q53" s="142"/>
    </row>
    <row r="54" spans="1:17" s="187" customFormat="1">
      <c r="A54" s="361" t="s">
        <v>44</v>
      </c>
      <c r="B54" s="361">
        <v>24</v>
      </c>
      <c r="C54" s="361"/>
      <c r="D54" s="361"/>
      <c r="E54" s="387"/>
      <c r="F54" s="379"/>
      <c r="G54" s="379"/>
      <c r="O54" s="142"/>
      <c r="P54" s="142"/>
      <c r="Q54" s="142"/>
    </row>
    <row r="55" spans="1:17" s="187" customFormat="1">
      <c r="A55" s="366">
        <f>A38</f>
        <v>2020</v>
      </c>
      <c r="B55" s="375">
        <f>C47/B29</f>
        <v>0.66</v>
      </c>
      <c r="C55" s="375"/>
      <c r="D55" s="375"/>
      <c r="E55" s="387"/>
      <c r="F55" s="379"/>
      <c r="G55" s="379"/>
      <c r="H55" s="187" t="s">
        <v>275</v>
      </c>
      <c r="O55" s="142"/>
      <c r="P55" s="142"/>
      <c r="Q55" s="142"/>
    </row>
    <row r="56" spans="1:17" s="187" customFormat="1">
      <c r="A56" s="366">
        <f t="shared" ref="A56:A57" si="5">A39</f>
        <v>2021</v>
      </c>
      <c r="B56" s="375">
        <f>C48/B30</f>
        <v>0.67699999999999994</v>
      </c>
      <c r="C56" s="375"/>
      <c r="D56" s="375"/>
      <c r="E56" s="387"/>
      <c r="F56" s="379"/>
      <c r="G56" s="379"/>
      <c r="H56" s="343">
        <f>I50*H53</f>
        <v>33123.948734865735</v>
      </c>
      <c r="O56" s="142"/>
      <c r="P56" s="142"/>
      <c r="Q56" s="142"/>
    </row>
    <row r="57" spans="1:17">
      <c r="A57" s="366">
        <f t="shared" si="5"/>
        <v>2022</v>
      </c>
      <c r="B57" s="375">
        <f>C49/B31</f>
        <v>0.65800000000000014</v>
      </c>
      <c r="C57" s="375"/>
      <c r="D57" s="375"/>
      <c r="E57" s="387"/>
      <c r="F57" s="379"/>
      <c r="G57" s="379"/>
      <c r="H57" s="187"/>
      <c r="I57" s="187"/>
      <c r="J57" s="187"/>
      <c r="K57" s="187"/>
      <c r="L57" s="187"/>
    </row>
    <row r="58" spans="1:17">
      <c r="A58" s="388"/>
      <c r="B58" s="389"/>
      <c r="C58" s="142"/>
      <c r="D58" s="142"/>
      <c r="E58" s="379"/>
      <c r="F58" s="298"/>
      <c r="G58" s="298"/>
      <c r="H58" s="187" t="s">
        <v>276</v>
      </c>
      <c r="I58" s="187"/>
      <c r="J58" s="187"/>
      <c r="K58" s="187"/>
      <c r="L58" s="187"/>
    </row>
    <row r="59" spans="1:17">
      <c r="A59" s="366" t="s">
        <v>191</v>
      </c>
      <c r="B59" s="375">
        <f>AVERAGE(B55:B57)</f>
        <v>0.66500000000000004</v>
      </c>
      <c r="C59" s="375"/>
      <c r="D59" s="375"/>
      <c r="E59" s="379"/>
      <c r="F59" s="298"/>
      <c r="G59" s="298"/>
      <c r="H59" s="207">
        <f>H56+C21</f>
        <v>43156.411734865731</v>
      </c>
      <c r="I59" s="187"/>
      <c r="J59" s="187"/>
      <c r="K59" s="187"/>
      <c r="L59" s="187"/>
    </row>
    <row r="60" spans="1:17">
      <c r="A60" s="298"/>
      <c r="B60" s="142"/>
      <c r="C60" s="142"/>
      <c r="D60" s="142"/>
      <c r="E60" s="379"/>
      <c r="F60" s="142"/>
      <c r="G60" s="142"/>
      <c r="H60" s="187"/>
      <c r="I60" s="187"/>
      <c r="J60" s="187"/>
      <c r="K60" s="187"/>
      <c r="L60" s="187"/>
    </row>
    <row r="61" spans="1:17">
      <c r="A61" s="357"/>
      <c r="B61" s="142"/>
      <c r="C61" s="142"/>
      <c r="D61" s="142"/>
      <c r="E61" s="379"/>
      <c r="F61" s="142"/>
      <c r="G61" s="142"/>
      <c r="H61" s="187" t="s">
        <v>277</v>
      </c>
      <c r="I61" s="187"/>
      <c r="J61" s="187"/>
      <c r="K61" s="187"/>
      <c r="L61" s="187"/>
    </row>
    <row r="62" spans="1:17">
      <c r="A62" s="297"/>
      <c r="B62" s="361">
        <v>24</v>
      </c>
      <c r="C62" s="142"/>
      <c r="D62" s="142"/>
      <c r="E62" s="379"/>
      <c r="F62" s="142"/>
      <c r="G62" s="142"/>
      <c r="H62" s="343">
        <f>(H59-C14)/(1-1/I34)*(1/J34-1/I34)</f>
        <v>9077.0636423346641</v>
      </c>
      <c r="I62" s="187"/>
      <c r="J62" s="187"/>
      <c r="K62" s="187"/>
      <c r="L62" s="187"/>
    </row>
    <row r="63" spans="1:17">
      <c r="A63" s="298" t="s">
        <v>278</v>
      </c>
      <c r="B63" s="493">
        <f>B32*B42</f>
        <v>14921.079999999996</v>
      </c>
      <c r="C63" s="142" t="s">
        <v>267</v>
      </c>
      <c r="D63" s="142"/>
      <c r="E63" s="379"/>
      <c r="F63" s="142"/>
      <c r="G63" s="142"/>
      <c r="H63" s="187"/>
      <c r="I63" s="187"/>
      <c r="J63" s="187"/>
      <c r="K63" s="187"/>
      <c r="L63" s="187"/>
    </row>
    <row r="64" spans="1:17">
      <c r="A64" s="298"/>
      <c r="B64" s="142"/>
      <c r="C64" s="142"/>
      <c r="D64" s="142"/>
      <c r="E64" s="379"/>
      <c r="F64" s="142"/>
      <c r="G64" s="142"/>
      <c r="H64" s="187" t="s">
        <v>279</v>
      </c>
      <c r="I64" s="187"/>
      <c r="J64" s="187"/>
      <c r="K64" s="187"/>
      <c r="L64" s="187"/>
    </row>
    <row r="65" spans="1:12">
      <c r="A65" s="298"/>
      <c r="B65" s="142"/>
      <c r="C65" s="142"/>
      <c r="D65" s="142"/>
      <c r="E65" s="379"/>
      <c r="F65" s="142"/>
      <c r="G65" s="142"/>
      <c r="H65" s="207">
        <f>H62+C14</f>
        <v>38742.526642334662</v>
      </c>
      <c r="I65" s="187"/>
      <c r="J65" s="187"/>
      <c r="K65" s="187"/>
      <c r="L65" s="187"/>
    </row>
    <row r="66" spans="1:12">
      <c r="A66" s="298"/>
      <c r="B66" s="142"/>
      <c r="C66" s="142"/>
      <c r="D66" s="142"/>
      <c r="E66" s="379"/>
      <c r="F66" s="142"/>
      <c r="G66" s="142"/>
      <c r="H66" s="142"/>
    </row>
    <row r="67" spans="1:12">
      <c r="A67" s="298"/>
      <c r="B67" s="361">
        <v>24</v>
      </c>
      <c r="C67" s="142"/>
      <c r="D67" s="142"/>
      <c r="E67" s="379"/>
      <c r="F67" s="142"/>
      <c r="G67" s="142"/>
      <c r="H67" s="142"/>
    </row>
    <row r="68" spans="1:12">
      <c r="A68" s="298" t="s">
        <v>278</v>
      </c>
      <c r="B68" s="367">
        <f>B32*B59</f>
        <v>13055.945000000002</v>
      </c>
      <c r="C68" s="142" t="s">
        <v>280</v>
      </c>
      <c r="D68" s="142"/>
      <c r="E68" s="379"/>
      <c r="F68" s="142"/>
      <c r="G68" s="142"/>
      <c r="H68" s="142"/>
    </row>
    <row r="69" spans="1:12">
      <c r="A69" s="357"/>
      <c r="B69" s="142"/>
      <c r="C69" s="142"/>
      <c r="D69" s="142"/>
      <c r="E69" s="379"/>
      <c r="F69" s="142"/>
      <c r="G69" s="142"/>
      <c r="H69" s="142"/>
    </row>
    <row r="70" spans="1:12">
      <c r="A70" s="357"/>
      <c r="B70" s="142"/>
      <c r="C70" s="142"/>
      <c r="D70" s="142"/>
      <c r="E70" s="379"/>
      <c r="F70" s="142"/>
      <c r="G70" s="142"/>
      <c r="H70" s="142"/>
    </row>
    <row r="71" spans="1:12">
      <c r="A71" s="298"/>
      <c r="B71" s="361">
        <v>24</v>
      </c>
      <c r="C71" s="142"/>
      <c r="D71" s="142"/>
      <c r="E71" s="379"/>
      <c r="F71" s="142"/>
      <c r="G71" s="142"/>
      <c r="H71" s="142"/>
    </row>
    <row r="72" spans="1:12">
      <c r="A72" s="298" t="s">
        <v>278</v>
      </c>
      <c r="B72" s="505">
        <f>B68+C21+B63</f>
        <v>38009.487999999998</v>
      </c>
      <c r="C72" s="142" t="s">
        <v>281</v>
      </c>
      <c r="D72" s="142"/>
      <c r="E72" s="379"/>
      <c r="F72" s="142"/>
      <c r="G72" s="142"/>
      <c r="H72" s="142"/>
    </row>
    <row r="73" spans="1:12">
      <c r="A73" s="297"/>
      <c r="B73" s="187"/>
      <c r="C73" s="187"/>
      <c r="D73" s="187"/>
      <c r="E73" s="187"/>
      <c r="F73" s="187"/>
      <c r="G73" s="187"/>
      <c r="H73" s="187"/>
    </row>
    <row r="74" spans="1:12">
      <c r="A74" s="187"/>
      <c r="B74" s="187"/>
      <c r="C74" s="187"/>
      <c r="D74" s="187"/>
      <c r="E74" s="187"/>
      <c r="F74" s="187"/>
      <c r="G74" s="187"/>
      <c r="H74" s="187"/>
    </row>
    <row r="75" spans="1:12">
      <c r="A75" s="187"/>
      <c r="B75" s="187"/>
      <c r="C75" s="187"/>
      <c r="D75" s="187"/>
      <c r="E75" s="187"/>
      <c r="F75" s="187"/>
      <c r="G75" s="187"/>
      <c r="H75" s="187"/>
    </row>
  </sheetData>
  <mergeCells count="5">
    <mergeCell ref="B23:F23"/>
    <mergeCell ref="B24:F24"/>
    <mergeCell ref="C9:F9"/>
    <mergeCell ref="C16:F16"/>
    <mergeCell ref="B4:M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22D67-DE54-45E2-AF66-47FE522C0956}">
  <dimension ref="A1:S9"/>
  <sheetViews>
    <sheetView zoomScale="90" zoomScaleNormal="90" workbookViewId="0"/>
  </sheetViews>
  <sheetFormatPr defaultColWidth="8.7265625" defaultRowHeight="14.5"/>
  <cols>
    <col min="1" max="1" width="9.453125" style="1" bestFit="1" customWidth="1"/>
    <col min="2" max="16384" width="8.7265625" style="1"/>
  </cols>
  <sheetData>
    <row r="1" spans="1:19">
      <c r="A1" s="135" t="s">
        <v>132</v>
      </c>
      <c r="B1" s="1" t="s">
        <v>38</v>
      </c>
    </row>
    <row r="2" spans="1:19">
      <c r="A2" s="135" t="s">
        <v>133</v>
      </c>
      <c r="B2" s="1" t="s">
        <v>170</v>
      </c>
    </row>
    <row r="3" spans="1:19">
      <c r="A3" s="135" t="s">
        <v>135</v>
      </c>
      <c r="B3" s="1" t="s">
        <v>261</v>
      </c>
    </row>
    <row r="4" spans="1:19" ht="28.15" customHeight="1">
      <c r="A4" s="135" t="s">
        <v>137</v>
      </c>
      <c r="B4" s="507" t="s">
        <v>262</v>
      </c>
      <c r="C4" s="507"/>
      <c r="D4" s="507"/>
      <c r="E4" s="507"/>
      <c r="F4" s="507"/>
      <c r="G4" s="507"/>
      <c r="H4" s="507"/>
      <c r="I4" s="507"/>
      <c r="J4" s="507"/>
      <c r="K4" s="507"/>
      <c r="L4" s="507"/>
      <c r="M4" s="507"/>
      <c r="N4" s="507"/>
      <c r="O4" s="507"/>
      <c r="P4" s="507"/>
      <c r="Q4" s="507"/>
      <c r="R4" s="507"/>
      <c r="S4" s="507"/>
    </row>
    <row r="5" spans="1:19">
      <c r="A5" s="135" t="s">
        <v>139</v>
      </c>
      <c r="B5" s="1" t="s">
        <v>282</v>
      </c>
    </row>
    <row r="7" spans="1:19">
      <c r="A7" s="530" t="s">
        <v>283</v>
      </c>
      <c r="B7" s="530"/>
      <c r="C7" s="530"/>
      <c r="D7" s="530"/>
      <c r="E7" s="530"/>
      <c r="F7" s="530"/>
      <c r="G7" s="530"/>
      <c r="H7" s="530"/>
      <c r="I7" s="530"/>
      <c r="J7" s="530"/>
      <c r="K7" s="530"/>
      <c r="L7" s="530"/>
      <c r="M7" s="530"/>
      <c r="N7" s="530"/>
      <c r="O7" s="530"/>
      <c r="P7" s="530"/>
      <c r="Q7" s="530"/>
      <c r="R7" s="530"/>
      <c r="S7" s="530"/>
    </row>
    <row r="8" spans="1:19" ht="29.15" customHeight="1">
      <c r="A8" s="530" t="s">
        <v>284</v>
      </c>
      <c r="B8" s="530"/>
      <c r="C8" s="530"/>
      <c r="D8" s="530"/>
      <c r="E8" s="530"/>
      <c r="F8" s="530"/>
      <c r="G8" s="530"/>
      <c r="H8" s="530"/>
      <c r="I8" s="530"/>
      <c r="J8" s="530"/>
      <c r="K8" s="530"/>
      <c r="L8" s="530"/>
      <c r="M8" s="530"/>
      <c r="N8" s="530"/>
      <c r="O8" s="530"/>
      <c r="P8" s="530"/>
      <c r="Q8" s="530"/>
      <c r="R8" s="530"/>
      <c r="S8" s="530"/>
    </row>
    <row r="9" spans="1:19">
      <c r="A9" s="1" t="s">
        <v>285</v>
      </c>
    </row>
  </sheetData>
  <mergeCells count="3">
    <mergeCell ref="B4:S4"/>
    <mergeCell ref="A7:S7"/>
    <mergeCell ref="A8:S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0C76-8272-42E2-80DE-F3CC8B3D4035}">
  <dimension ref="A1:V32"/>
  <sheetViews>
    <sheetView zoomScale="90" zoomScaleNormal="90" workbookViewId="0"/>
  </sheetViews>
  <sheetFormatPr defaultColWidth="8.7265625" defaultRowHeight="14.5"/>
  <cols>
    <col min="1" max="1" width="9.453125" style="1" bestFit="1" customWidth="1"/>
    <col min="2" max="16" width="8.7265625" style="1"/>
    <col min="17" max="22" width="16.453125" style="1" customWidth="1"/>
    <col min="23" max="16384" width="8.7265625" style="1"/>
  </cols>
  <sheetData>
    <row r="1" spans="1:22">
      <c r="A1" s="135" t="s">
        <v>132</v>
      </c>
      <c r="B1" s="1" t="s">
        <v>0</v>
      </c>
    </row>
    <row r="2" spans="1:22">
      <c r="A2" s="135" t="s">
        <v>133</v>
      </c>
      <c r="B2" s="1" t="s">
        <v>286</v>
      </c>
    </row>
    <row r="3" spans="1:22">
      <c r="A3" s="135" t="s">
        <v>135</v>
      </c>
      <c r="B3" s="1" t="s">
        <v>261</v>
      </c>
    </row>
    <row r="4" spans="1:22" ht="29.65" customHeight="1">
      <c r="A4" s="135" t="s">
        <v>137</v>
      </c>
      <c r="B4" s="507" t="s">
        <v>262</v>
      </c>
      <c r="C4" s="507"/>
      <c r="D4" s="507"/>
      <c r="E4" s="507"/>
      <c r="F4" s="507"/>
      <c r="G4" s="507"/>
      <c r="H4" s="507"/>
      <c r="I4" s="507"/>
      <c r="J4" s="507"/>
      <c r="K4" s="507"/>
      <c r="L4" s="507"/>
      <c r="M4" s="507"/>
      <c r="N4" s="507"/>
      <c r="O4" s="507"/>
      <c r="P4" s="507"/>
      <c r="Q4" s="507"/>
      <c r="R4" s="507"/>
      <c r="S4" s="507"/>
    </row>
    <row r="5" spans="1:22">
      <c r="A5" s="135" t="s">
        <v>139</v>
      </c>
      <c r="B5" s="61" t="s">
        <v>178</v>
      </c>
    </row>
    <row r="6" spans="1:22" ht="29">
      <c r="O6" s="1" t="s">
        <v>155</v>
      </c>
      <c r="Q6" s="391" t="s">
        <v>44</v>
      </c>
      <c r="R6" s="391" t="s">
        <v>119</v>
      </c>
      <c r="S6" s="391" t="s">
        <v>120</v>
      </c>
      <c r="T6" s="391" t="s">
        <v>121</v>
      </c>
      <c r="U6" s="391" t="s">
        <v>122</v>
      </c>
      <c r="V6" s="391" t="s">
        <v>123</v>
      </c>
    </row>
    <row r="7" spans="1:22">
      <c r="Q7" s="391">
        <v>2024</v>
      </c>
      <c r="R7" s="392">
        <v>2000</v>
      </c>
      <c r="S7" s="391">
        <v>800</v>
      </c>
      <c r="T7" s="393">
        <v>0.5</v>
      </c>
      <c r="U7" s="391">
        <v>800</v>
      </c>
      <c r="V7" s="393">
        <v>0.35</v>
      </c>
    </row>
    <row r="9" spans="1:22">
      <c r="Q9" s="1" t="s">
        <v>124</v>
      </c>
    </row>
    <row r="12" spans="1:22">
      <c r="Q12" s="1" t="s">
        <v>287</v>
      </c>
    </row>
    <row r="13" spans="1:22">
      <c r="R13" s="1" t="s">
        <v>288</v>
      </c>
      <c r="S13" s="473">
        <f>S7/R7</f>
        <v>0.4</v>
      </c>
    </row>
    <row r="14" spans="1:22">
      <c r="R14" s="1" t="s">
        <v>289</v>
      </c>
      <c r="S14" s="473">
        <f>U7/R7</f>
        <v>0.4</v>
      </c>
    </row>
    <row r="15" spans="1:22">
      <c r="R15" s="1" t="s">
        <v>290</v>
      </c>
    </row>
    <row r="17" spans="17:20">
      <c r="Q17" s="1" t="s">
        <v>291</v>
      </c>
    </row>
    <row r="18" spans="17:20">
      <c r="Q18" s="1" t="s">
        <v>292</v>
      </c>
    </row>
    <row r="20" spans="17:20">
      <c r="Q20" s="1" t="s">
        <v>293</v>
      </c>
    </row>
    <row r="21" spans="17:20">
      <c r="Q21" s="1" t="s">
        <v>294</v>
      </c>
    </row>
    <row r="22" spans="17:20">
      <c r="Q22" s="1" t="s">
        <v>295</v>
      </c>
    </row>
    <row r="23" spans="17:20">
      <c r="Q23" s="1" t="s">
        <v>296</v>
      </c>
      <c r="R23" s="1">
        <f>S7/T7</f>
        <v>1600</v>
      </c>
    </row>
    <row r="24" spans="17:20">
      <c r="Q24" s="1" t="s">
        <v>297</v>
      </c>
      <c r="R24" s="1">
        <f>U7+R7*0.7*(1-V7)</f>
        <v>1710</v>
      </c>
    </row>
    <row r="26" spans="17:20">
      <c r="Q26" s="1" t="s">
        <v>298</v>
      </c>
    </row>
    <row r="27" spans="17:20">
      <c r="T27" s="1" t="s">
        <v>299</v>
      </c>
    </row>
    <row r="28" spans="17:20">
      <c r="Q28" s="1" t="s">
        <v>300</v>
      </c>
      <c r="T28" s="1">
        <f>R7*0.7</f>
        <v>1400</v>
      </c>
    </row>
    <row r="29" spans="17:20">
      <c r="Q29" s="1" t="s">
        <v>301</v>
      </c>
      <c r="T29" s="1">
        <f>S7+(1-T7)*R7*0.7</f>
        <v>1500</v>
      </c>
    </row>
    <row r="30" spans="17:20">
      <c r="Q30" s="1" t="s">
        <v>302</v>
      </c>
      <c r="T30" s="1">
        <f>S7/T7</f>
        <v>1600</v>
      </c>
    </row>
    <row r="31" spans="17:20">
      <c r="Q31" s="1" t="s">
        <v>297</v>
      </c>
      <c r="T31" s="1">
        <f>U7+R7*0.7*(1-V7)</f>
        <v>1710</v>
      </c>
    </row>
    <row r="32" spans="17:20">
      <c r="Q32" s="1" t="s">
        <v>303</v>
      </c>
      <c r="T32" s="474">
        <f>U7/V7</f>
        <v>2285.7142857142858</v>
      </c>
    </row>
  </sheetData>
  <mergeCells count="1">
    <mergeCell ref="B4:S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64708-65A7-431F-8668-7CB642A82987}">
  <dimension ref="A1:O28"/>
  <sheetViews>
    <sheetView zoomScale="90" zoomScaleNormal="90" workbookViewId="0"/>
  </sheetViews>
  <sheetFormatPr defaultColWidth="8.7265625" defaultRowHeight="14.5"/>
  <cols>
    <col min="1" max="1" width="24.54296875" style="1" customWidth="1"/>
    <col min="2" max="6" width="10.7265625" style="1" customWidth="1"/>
    <col min="7" max="7" width="4.26953125" style="1" customWidth="1"/>
    <col min="8" max="8" width="10.7265625" style="1" customWidth="1"/>
    <col min="9" max="9" width="27.26953125" style="1" customWidth="1"/>
    <col min="10" max="47" width="10.7265625" style="1" customWidth="1"/>
    <col min="48" max="16384" width="8.7265625" style="1"/>
  </cols>
  <sheetData>
    <row r="1" spans="1:15">
      <c r="A1" s="15" t="s">
        <v>13</v>
      </c>
      <c r="B1" s="16"/>
      <c r="C1" s="17"/>
      <c r="D1" s="17"/>
      <c r="E1" s="17"/>
      <c r="F1" s="18"/>
      <c r="H1" s="2" t="s">
        <v>14</v>
      </c>
      <c r="I1" s="3"/>
      <c r="J1" s="3"/>
      <c r="K1" s="3"/>
      <c r="L1" s="3"/>
      <c r="M1" s="3"/>
      <c r="N1" s="3"/>
      <c r="O1" s="4"/>
    </row>
    <row r="2" spans="1:15">
      <c r="A2" s="19" t="s">
        <v>15</v>
      </c>
      <c r="F2" s="20"/>
      <c r="H2" s="5"/>
      <c r="I2" s="6" t="s">
        <v>16</v>
      </c>
      <c r="J2" s="6"/>
      <c r="K2" s="6"/>
      <c r="L2" s="6"/>
      <c r="M2" s="6"/>
      <c r="N2" s="6"/>
      <c r="O2" s="7"/>
    </row>
    <row r="3" spans="1:15">
      <c r="A3" s="19" t="s">
        <v>17</v>
      </c>
      <c r="F3" s="20"/>
      <c r="H3" s="5"/>
      <c r="I3" s="6"/>
      <c r="J3" s="6"/>
      <c r="K3" s="6"/>
      <c r="L3" s="6"/>
      <c r="M3" s="6"/>
      <c r="N3" s="6"/>
      <c r="O3" s="7"/>
    </row>
    <row r="4" spans="1:15">
      <c r="A4" s="21"/>
      <c r="B4" s="22"/>
      <c r="F4" s="20"/>
      <c r="H4" s="5"/>
      <c r="I4" s="480"/>
      <c r="J4" s="481">
        <v>2017</v>
      </c>
      <c r="K4" s="481">
        <v>2018</v>
      </c>
      <c r="L4" s="481">
        <v>2019</v>
      </c>
      <c r="M4" s="482" t="s">
        <v>18</v>
      </c>
      <c r="N4" s="6"/>
      <c r="O4" s="7"/>
    </row>
    <row r="5" spans="1:15">
      <c r="A5" s="21" t="s">
        <v>19</v>
      </c>
      <c r="B5" s="22"/>
      <c r="F5" s="20"/>
      <c r="H5" s="5"/>
      <c r="I5" s="483" t="s">
        <v>20</v>
      </c>
      <c r="J5" s="47" t="s">
        <v>21</v>
      </c>
      <c r="K5" s="47" t="s">
        <v>21</v>
      </c>
      <c r="L5" s="47" t="s">
        <v>21</v>
      </c>
      <c r="M5" s="484" t="s">
        <v>22</v>
      </c>
      <c r="N5" s="6"/>
      <c r="O5" s="7"/>
    </row>
    <row r="6" spans="1:15">
      <c r="A6" s="21" t="s">
        <v>23</v>
      </c>
      <c r="B6" s="22"/>
      <c r="F6" s="20"/>
      <c r="H6" s="5"/>
      <c r="I6" s="485" t="s">
        <v>24</v>
      </c>
      <c r="J6" s="49">
        <v>50000</v>
      </c>
      <c r="K6" s="49">
        <v>55000</v>
      </c>
      <c r="L6" s="49">
        <v>60500</v>
      </c>
      <c r="M6" s="486"/>
      <c r="N6" s="6"/>
      <c r="O6" s="7"/>
    </row>
    <row r="7" spans="1:15">
      <c r="A7" s="23"/>
      <c r="F7" s="20"/>
      <c r="H7" s="5"/>
      <c r="I7" s="485" t="s">
        <v>25</v>
      </c>
      <c r="J7" s="49">
        <v>50000</v>
      </c>
      <c r="K7" s="49">
        <v>52500</v>
      </c>
      <c r="L7" s="49">
        <v>57500</v>
      </c>
      <c r="M7" s="487"/>
      <c r="N7" s="6"/>
      <c r="O7" s="7"/>
    </row>
    <row r="8" spans="1:15">
      <c r="A8" s="23" t="s">
        <v>26</v>
      </c>
      <c r="F8" s="20"/>
      <c r="H8" s="5"/>
      <c r="I8" s="485" t="s">
        <v>27</v>
      </c>
      <c r="J8" s="49">
        <v>2500</v>
      </c>
      <c r="K8" s="49">
        <v>2520</v>
      </c>
      <c r="L8" s="49">
        <v>2645</v>
      </c>
      <c r="M8" s="488">
        <v>0.75</v>
      </c>
      <c r="N8" s="6"/>
      <c r="O8" s="7"/>
    </row>
    <row r="9" spans="1:15">
      <c r="F9" s="20"/>
      <c r="H9" s="5"/>
      <c r="I9" s="485" t="s">
        <v>28</v>
      </c>
      <c r="J9" s="49">
        <v>2000</v>
      </c>
      <c r="K9" s="49">
        <v>2145</v>
      </c>
      <c r="L9" s="49">
        <v>2480</v>
      </c>
      <c r="M9" s="488">
        <v>0</v>
      </c>
      <c r="N9" s="6"/>
      <c r="O9" s="7"/>
    </row>
    <row r="10" spans="1:15">
      <c r="A10" s="503"/>
      <c r="B10" s="503">
        <v>2017</v>
      </c>
      <c r="C10" s="503">
        <v>2018</v>
      </c>
      <c r="D10" s="503">
        <v>2019</v>
      </c>
      <c r="E10" s="115" t="s">
        <v>18</v>
      </c>
      <c r="F10" s="20"/>
      <c r="H10" s="5"/>
      <c r="I10" s="489" t="s">
        <v>29</v>
      </c>
      <c r="J10" s="55">
        <v>750</v>
      </c>
      <c r="K10" s="55">
        <v>830</v>
      </c>
      <c r="L10" s="55">
        <v>901</v>
      </c>
      <c r="M10" s="488">
        <v>0</v>
      </c>
      <c r="N10" s="6"/>
      <c r="O10" s="7"/>
    </row>
    <row r="11" spans="1:15">
      <c r="A11" s="47" t="s">
        <v>20</v>
      </c>
      <c r="B11" s="47" t="s">
        <v>21</v>
      </c>
      <c r="C11" s="47" t="s">
        <v>21</v>
      </c>
      <c r="D11" s="47" t="s">
        <v>21</v>
      </c>
      <c r="E11" s="502" t="s">
        <v>22</v>
      </c>
      <c r="F11" s="20"/>
      <c r="H11" s="5"/>
      <c r="I11" s="490" t="s">
        <v>30</v>
      </c>
      <c r="J11" s="491">
        <v>7500</v>
      </c>
      <c r="K11" s="491">
        <v>8140</v>
      </c>
      <c r="L11" s="491">
        <v>9196</v>
      </c>
      <c r="M11" s="492">
        <v>0</v>
      </c>
      <c r="N11" s="6"/>
      <c r="O11" s="7"/>
    </row>
    <row r="12" spans="1:15">
      <c r="A12" s="499" t="s">
        <v>24</v>
      </c>
      <c r="B12" s="500">
        <v>50000</v>
      </c>
      <c r="C12" s="500">
        <v>55000</v>
      </c>
      <c r="D12" s="500">
        <v>60500</v>
      </c>
      <c r="E12" s="501"/>
      <c r="F12" s="20"/>
      <c r="H12" s="5"/>
      <c r="I12" s="6"/>
      <c r="J12" s="6"/>
      <c r="K12" s="6"/>
      <c r="L12" s="6"/>
      <c r="M12" s="6"/>
      <c r="N12" s="6"/>
      <c r="O12" s="7"/>
    </row>
    <row r="13" spans="1:15" ht="15" thickBot="1">
      <c r="A13" s="48" t="s">
        <v>25</v>
      </c>
      <c r="B13" s="49">
        <v>50000</v>
      </c>
      <c r="C13" s="49">
        <v>52500</v>
      </c>
      <c r="D13" s="49">
        <v>57500</v>
      </c>
      <c r="E13" s="51"/>
      <c r="F13" s="20"/>
      <c r="H13" s="5"/>
      <c r="I13" s="478">
        <v>0.03</v>
      </c>
      <c r="J13" s="479" t="s">
        <v>31</v>
      </c>
      <c r="K13" s="479"/>
      <c r="L13" s="6"/>
      <c r="M13" s="6"/>
      <c r="N13" s="6"/>
      <c r="O13" s="7"/>
    </row>
    <row r="14" spans="1:15" ht="15" thickBot="1">
      <c r="A14" s="48" t="s">
        <v>27</v>
      </c>
      <c r="B14" s="49">
        <v>2500</v>
      </c>
      <c r="C14" s="49">
        <v>2520</v>
      </c>
      <c r="D14" s="49">
        <v>2645</v>
      </c>
      <c r="E14" s="52">
        <v>0.75</v>
      </c>
      <c r="F14" s="20"/>
      <c r="H14" s="475" t="s">
        <v>32</v>
      </c>
      <c r="I14" s="476"/>
      <c r="J14" s="476"/>
      <c r="K14" s="476"/>
      <c r="L14" s="476"/>
      <c r="M14" s="476"/>
      <c r="N14" s="476"/>
      <c r="O14" s="477"/>
    </row>
    <row r="15" spans="1:15">
      <c r="A15" s="48" t="s">
        <v>28</v>
      </c>
      <c r="B15" s="49">
        <v>2000</v>
      </c>
      <c r="C15" s="49">
        <v>2145</v>
      </c>
      <c r="D15" s="49">
        <v>2480</v>
      </c>
      <c r="E15" s="52">
        <v>0</v>
      </c>
      <c r="F15" s="20"/>
    </row>
    <row r="16" spans="1:15">
      <c r="A16" s="54" t="s">
        <v>29</v>
      </c>
      <c r="B16" s="55">
        <v>750</v>
      </c>
      <c r="C16" s="55">
        <v>830</v>
      </c>
      <c r="D16" s="55">
        <v>901</v>
      </c>
      <c r="E16" s="52">
        <v>0</v>
      </c>
      <c r="F16" s="20"/>
    </row>
    <row r="17" spans="1:6">
      <c r="A17" s="54" t="s">
        <v>30</v>
      </c>
      <c r="B17" s="56">
        <v>7500</v>
      </c>
      <c r="C17" s="56">
        <v>8140</v>
      </c>
      <c r="D17" s="56">
        <v>9196</v>
      </c>
      <c r="E17" s="52">
        <v>0</v>
      </c>
      <c r="F17" s="20"/>
    </row>
    <row r="18" spans="1:6">
      <c r="A18" s="5"/>
      <c r="B18" s="6"/>
      <c r="C18" s="6"/>
      <c r="F18" s="20"/>
    </row>
    <row r="19" spans="1:6">
      <c r="A19" s="24">
        <v>0.03</v>
      </c>
      <c r="B19" s="8" t="s">
        <v>31</v>
      </c>
      <c r="C19" s="8"/>
      <c r="F19" s="20"/>
    </row>
    <row r="20" spans="1:6">
      <c r="A20" s="23"/>
      <c r="F20" s="20"/>
    </row>
    <row r="21" spans="1:6">
      <c r="A21" s="23" t="s">
        <v>33</v>
      </c>
      <c r="F21" s="20"/>
    </row>
    <row r="22" spans="1:6">
      <c r="A22" s="23" t="s">
        <v>16</v>
      </c>
      <c r="F22" s="20"/>
    </row>
    <row r="23" spans="1:6">
      <c r="A23" s="23"/>
      <c r="F23" s="20"/>
    </row>
    <row r="24" spans="1:6">
      <c r="A24" s="23" t="s">
        <v>34</v>
      </c>
      <c r="F24" s="20"/>
    </row>
    <row r="25" spans="1:6" ht="29.15" customHeight="1">
      <c r="A25" s="23" t="s">
        <v>35</v>
      </c>
      <c r="F25" s="20"/>
    </row>
    <row r="26" spans="1:6" ht="28.15" customHeight="1">
      <c r="A26" s="506" t="s">
        <v>36</v>
      </c>
      <c r="B26" s="507"/>
      <c r="C26" s="507"/>
      <c r="D26" s="507"/>
      <c r="E26" s="507"/>
      <c r="F26" s="508"/>
    </row>
    <row r="27" spans="1:6">
      <c r="A27" s="23" t="s">
        <v>37</v>
      </c>
      <c r="F27" s="20"/>
    </row>
    <row r="28" spans="1:6" ht="15" thickBot="1">
      <c r="A28" s="25"/>
      <c r="B28" s="26"/>
      <c r="C28" s="26"/>
      <c r="D28" s="26"/>
      <c r="E28" s="26"/>
      <c r="F28" s="27"/>
    </row>
  </sheetData>
  <mergeCells count="1">
    <mergeCell ref="A26:F2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A1E6-203F-43A4-8C5E-8008E766F52B}">
  <dimension ref="A1:Q22"/>
  <sheetViews>
    <sheetView zoomScale="90" zoomScaleNormal="90" workbookViewId="0"/>
  </sheetViews>
  <sheetFormatPr defaultColWidth="8.7265625" defaultRowHeight="14.5"/>
  <cols>
    <col min="1" max="1" width="9.453125" style="1" bestFit="1" customWidth="1"/>
    <col min="2" max="2" width="3.26953125" style="1" customWidth="1"/>
    <col min="3" max="16384" width="8.7265625" style="1"/>
  </cols>
  <sheetData>
    <row r="1" spans="1:17">
      <c r="A1" s="135" t="s">
        <v>132</v>
      </c>
      <c r="B1" s="1" t="s">
        <v>0</v>
      </c>
    </row>
    <row r="2" spans="1:17">
      <c r="A2" s="135" t="s">
        <v>133</v>
      </c>
      <c r="B2" s="1" t="s">
        <v>258</v>
      </c>
    </row>
    <row r="3" spans="1:17">
      <c r="A3" s="135" t="s">
        <v>135</v>
      </c>
      <c r="B3" s="1" t="s">
        <v>261</v>
      </c>
    </row>
    <row r="4" spans="1:17" ht="29.15" customHeight="1">
      <c r="A4" s="135" t="s">
        <v>137</v>
      </c>
      <c r="B4" s="507" t="s">
        <v>304</v>
      </c>
      <c r="C4" s="507"/>
      <c r="D4" s="507"/>
      <c r="E4" s="507"/>
      <c r="F4" s="507"/>
      <c r="G4" s="507"/>
      <c r="H4" s="507"/>
      <c r="I4" s="507"/>
      <c r="J4" s="507"/>
      <c r="K4" s="507"/>
      <c r="L4" s="507"/>
      <c r="M4" s="507"/>
      <c r="N4" s="507"/>
      <c r="O4" s="507"/>
      <c r="P4" s="507"/>
      <c r="Q4" s="507"/>
    </row>
    <row r="5" spans="1:17">
      <c r="A5" s="135" t="s">
        <v>139</v>
      </c>
      <c r="B5" s="1" t="s">
        <v>305</v>
      </c>
    </row>
    <row r="7" spans="1:17">
      <c r="A7" s="1" t="s">
        <v>126</v>
      </c>
    </row>
    <row r="9" spans="1:17">
      <c r="B9" s="1" t="s">
        <v>9</v>
      </c>
      <c r="C9" s="1" t="s">
        <v>127</v>
      </c>
    </row>
    <row r="11" spans="1:17">
      <c r="A11" s="129"/>
      <c r="B11" s="395" t="s">
        <v>10</v>
      </c>
      <c r="C11" s="395" t="s">
        <v>128</v>
      </c>
      <c r="D11" s="395"/>
      <c r="E11" s="395"/>
      <c r="F11" s="395"/>
      <c r="G11" s="395"/>
      <c r="H11" s="395"/>
      <c r="I11" s="395"/>
      <c r="J11" s="395"/>
      <c r="K11" s="395"/>
      <c r="L11" s="395"/>
      <c r="M11" s="395"/>
      <c r="N11" s="395"/>
      <c r="O11" s="395"/>
      <c r="P11" s="395"/>
    </row>
    <row r="12" spans="1:17">
      <c r="A12" s="129"/>
    </row>
    <row r="13" spans="1:17">
      <c r="A13" s="129"/>
      <c r="B13" s="395" t="s">
        <v>11</v>
      </c>
      <c r="C13" s="395" t="s">
        <v>129</v>
      </c>
      <c r="D13" s="395"/>
      <c r="E13" s="395"/>
      <c r="F13" s="395"/>
      <c r="G13" s="395"/>
      <c r="H13" s="395"/>
      <c r="I13" s="395"/>
      <c r="J13" s="395"/>
      <c r="K13" s="395"/>
      <c r="L13" s="395"/>
      <c r="M13" s="395"/>
    </row>
    <row r="14" spans="1:17">
      <c r="A14" s="129"/>
    </row>
    <row r="15" spans="1:17">
      <c r="A15" s="129"/>
      <c r="B15" s="1" t="s">
        <v>12</v>
      </c>
      <c r="C15" s="1" t="s">
        <v>130</v>
      </c>
    </row>
    <row r="16" spans="1:17">
      <c r="A16" s="129"/>
    </row>
    <row r="17" spans="1:13">
      <c r="A17" s="129"/>
      <c r="B17" s="395" t="s">
        <v>101</v>
      </c>
      <c r="C17" s="395" t="s">
        <v>131</v>
      </c>
      <c r="D17" s="395"/>
      <c r="E17" s="395"/>
      <c r="F17" s="395"/>
      <c r="G17" s="395"/>
      <c r="H17" s="395"/>
      <c r="I17" s="395"/>
      <c r="J17" s="395"/>
      <c r="K17" s="395"/>
      <c r="L17" s="395"/>
      <c r="M17" s="395"/>
    </row>
    <row r="19" spans="1:13">
      <c r="A19" s="1" t="s">
        <v>306</v>
      </c>
    </row>
    <row r="20" spans="1:13">
      <c r="B20" s="1" t="s">
        <v>307</v>
      </c>
    </row>
    <row r="21" spans="1:13">
      <c r="B21" s="1" t="s">
        <v>308</v>
      </c>
    </row>
    <row r="22" spans="1:13">
      <c r="B22" s="1" t="s">
        <v>309</v>
      </c>
    </row>
  </sheetData>
  <mergeCells count="1">
    <mergeCell ref="B4:Q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E6021-5B85-487E-B836-D96D4D979E3F}">
  <dimension ref="A1:O35"/>
  <sheetViews>
    <sheetView zoomScale="90" zoomScaleNormal="90" workbookViewId="0"/>
  </sheetViews>
  <sheetFormatPr defaultColWidth="8.7265625" defaultRowHeight="14.5"/>
  <cols>
    <col min="1" max="1" width="27" style="1" customWidth="1"/>
    <col min="2" max="4" width="8.7265625" style="1"/>
    <col min="5" max="5" width="12.7265625" style="1" customWidth="1"/>
    <col min="6" max="6" width="17.453125" style="1" customWidth="1"/>
    <col min="7" max="7" width="4.26953125" style="1" customWidth="1"/>
    <col min="8" max="9" width="8.7265625" style="1"/>
    <col min="10" max="10" width="24.453125" style="1" customWidth="1"/>
    <col min="11" max="59" width="10.7265625" style="1" customWidth="1"/>
    <col min="60" max="16384" width="8.7265625" style="1"/>
  </cols>
  <sheetData>
    <row r="1" spans="1:15">
      <c r="A1" s="15" t="s">
        <v>13</v>
      </c>
      <c r="B1" s="16"/>
      <c r="C1" s="17"/>
      <c r="D1" s="17"/>
      <c r="E1" s="17"/>
      <c r="F1" s="18"/>
      <c r="H1" s="2" t="s">
        <v>38</v>
      </c>
      <c r="I1" s="3"/>
      <c r="J1" s="3"/>
      <c r="K1" s="3"/>
      <c r="L1" s="3"/>
      <c r="M1" s="3"/>
      <c r="N1" s="3"/>
      <c r="O1" s="4"/>
    </row>
    <row r="2" spans="1:15">
      <c r="A2" s="19" t="s">
        <v>15</v>
      </c>
      <c r="F2" s="20"/>
      <c r="H2" s="5"/>
      <c r="I2" s="6" t="s">
        <v>35</v>
      </c>
      <c r="J2" s="6"/>
      <c r="K2" s="6"/>
      <c r="L2" s="6"/>
      <c r="M2" s="6"/>
      <c r="N2" s="6"/>
      <c r="O2" s="7"/>
    </row>
    <row r="3" spans="1:15">
      <c r="A3" s="19" t="s">
        <v>17</v>
      </c>
      <c r="F3" s="20"/>
      <c r="H3" s="5"/>
      <c r="I3" s="6"/>
      <c r="J3" s="6"/>
      <c r="K3" s="6"/>
      <c r="L3" s="6"/>
      <c r="M3" s="6"/>
      <c r="N3" s="6"/>
      <c r="O3" s="7"/>
    </row>
    <row r="4" spans="1:15" ht="29.15" customHeight="1">
      <c r="A4" s="21"/>
      <c r="B4" s="22"/>
      <c r="F4" s="20"/>
      <c r="H4" s="5"/>
      <c r="I4" s="509" t="s">
        <v>36</v>
      </c>
      <c r="J4" s="509"/>
      <c r="K4" s="509"/>
      <c r="L4" s="509"/>
      <c r="M4" s="509"/>
      <c r="N4" s="509"/>
      <c r="O4" s="510"/>
    </row>
    <row r="5" spans="1:15">
      <c r="A5" s="21" t="s">
        <v>19</v>
      </c>
      <c r="B5" s="22"/>
      <c r="F5" s="20"/>
      <c r="H5" s="5"/>
      <c r="I5" s="6" t="s">
        <v>37</v>
      </c>
      <c r="J5" s="6"/>
      <c r="K5" s="6"/>
      <c r="L5" s="6"/>
      <c r="M5" s="6"/>
      <c r="N5" s="6"/>
      <c r="O5" s="7"/>
    </row>
    <row r="6" spans="1:15" ht="15" thickBot="1">
      <c r="A6" s="21" t="s">
        <v>23</v>
      </c>
      <c r="B6" s="22"/>
      <c r="F6" s="20"/>
      <c r="H6" s="9"/>
      <c r="I6" s="412"/>
      <c r="J6" s="413"/>
      <c r="K6" s="413"/>
      <c r="L6" s="413"/>
      <c r="M6" s="414"/>
      <c r="N6" s="10"/>
      <c r="O6" s="11"/>
    </row>
    <row r="7" spans="1:15">
      <c r="A7" s="23"/>
      <c r="F7" s="20"/>
    </row>
    <row r="8" spans="1:15">
      <c r="A8" s="23" t="s">
        <v>26</v>
      </c>
      <c r="F8" s="20"/>
    </row>
    <row r="9" spans="1:15">
      <c r="F9" s="20"/>
    </row>
    <row r="10" spans="1:15">
      <c r="A10" s="480"/>
      <c r="B10" s="481">
        <v>2017</v>
      </c>
      <c r="C10" s="481">
        <v>2018</v>
      </c>
      <c r="D10" s="481">
        <v>2019</v>
      </c>
      <c r="E10" s="482" t="s">
        <v>18</v>
      </c>
      <c r="F10" s="20"/>
    </row>
    <row r="11" spans="1:15">
      <c r="A11" s="48" t="s">
        <v>20</v>
      </c>
      <c r="B11" s="53" t="s">
        <v>21</v>
      </c>
      <c r="C11" s="53" t="s">
        <v>21</v>
      </c>
      <c r="D11" s="53" t="s">
        <v>21</v>
      </c>
      <c r="E11" s="53" t="s">
        <v>22</v>
      </c>
      <c r="F11" s="20"/>
    </row>
    <row r="12" spans="1:15">
      <c r="A12" s="48" t="s">
        <v>24</v>
      </c>
      <c r="B12" s="49">
        <v>50000</v>
      </c>
      <c r="C12" s="49">
        <v>55000</v>
      </c>
      <c r="D12" s="49">
        <v>60500</v>
      </c>
      <c r="E12" s="50"/>
      <c r="F12" s="20"/>
    </row>
    <row r="13" spans="1:15">
      <c r="A13" s="48" t="s">
        <v>25</v>
      </c>
      <c r="B13" s="49">
        <v>50000</v>
      </c>
      <c r="C13" s="49">
        <v>52500</v>
      </c>
      <c r="D13" s="49">
        <v>57500</v>
      </c>
      <c r="E13" s="51"/>
      <c r="F13" s="20"/>
    </row>
    <row r="14" spans="1:15">
      <c r="A14" s="48" t="s">
        <v>27</v>
      </c>
      <c r="B14" s="49">
        <v>2500</v>
      </c>
      <c r="C14" s="49">
        <v>2520</v>
      </c>
      <c r="D14" s="49">
        <v>2645</v>
      </c>
      <c r="E14" s="52">
        <v>0.75</v>
      </c>
      <c r="F14" s="20"/>
    </row>
    <row r="15" spans="1:15">
      <c r="A15" s="48" t="s">
        <v>28</v>
      </c>
      <c r="B15" s="49">
        <v>2000</v>
      </c>
      <c r="C15" s="49">
        <v>2145</v>
      </c>
      <c r="D15" s="49">
        <v>2480</v>
      </c>
      <c r="E15" s="52">
        <v>0</v>
      </c>
      <c r="F15" s="20"/>
    </row>
    <row r="16" spans="1:15">
      <c r="A16" s="54" t="s">
        <v>29</v>
      </c>
      <c r="B16" s="55">
        <v>750</v>
      </c>
      <c r="C16" s="55">
        <v>830</v>
      </c>
      <c r="D16" s="55">
        <v>901</v>
      </c>
      <c r="E16" s="52">
        <v>0</v>
      </c>
      <c r="F16" s="20"/>
    </row>
    <row r="17" spans="1:6">
      <c r="A17" s="54" t="s">
        <v>30</v>
      </c>
      <c r="B17" s="56">
        <v>7500</v>
      </c>
      <c r="C17" s="56">
        <v>8140</v>
      </c>
      <c r="D17" s="56">
        <v>9196</v>
      </c>
      <c r="E17" s="52">
        <v>0</v>
      </c>
      <c r="F17" s="20"/>
    </row>
    <row r="18" spans="1:6">
      <c r="A18" s="5"/>
      <c r="B18" s="6"/>
      <c r="C18" s="6"/>
      <c r="F18" s="20"/>
    </row>
    <row r="19" spans="1:6">
      <c r="A19" s="24">
        <v>0.03</v>
      </c>
      <c r="B19" s="8" t="s">
        <v>31</v>
      </c>
      <c r="C19" s="8"/>
      <c r="F19" s="20"/>
    </row>
    <row r="20" spans="1:6">
      <c r="A20" s="23"/>
      <c r="F20" s="20"/>
    </row>
    <row r="21" spans="1:6">
      <c r="A21" s="23" t="s">
        <v>33</v>
      </c>
      <c r="F21" s="20"/>
    </row>
    <row r="22" spans="1:6">
      <c r="A22" s="23" t="s">
        <v>16</v>
      </c>
      <c r="F22" s="20"/>
    </row>
    <row r="23" spans="1:6">
      <c r="A23" s="23"/>
      <c r="F23" s="20"/>
    </row>
    <row r="24" spans="1:6">
      <c r="A24" s="23" t="s">
        <v>34</v>
      </c>
      <c r="F24" s="20"/>
    </row>
    <row r="25" spans="1:6">
      <c r="A25" s="23" t="s">
        <v>35</v>
      </c>
      <c r="F25" s="20"/>
    </row>
    <row r="26" spans="1:6" ht="30" customHeight="1">
      <c r="A26" s="506" t="s">
        <v>36</v>
      </c>
      <c r="B26" s="507"/>
      <c r="C26" s="507"/>
      <c r="D26" s="507"/>
      <c r="E26" s="507"/>
      <c r="F26" s="508"/>
    </row>
    <row r="27" spans="1:6">
      <c r="A27" s="23" t="s">
        <v>37</v>
      </c>
      <c r="F27" s="20"/>
    </row>
    <row r="28" spans="1:6" ht="15" thickBot="1">
      <c r="A28" s="25"/>
      <c r="B28" s="26"/>
      <c r="C28" s="26"/>
      <c r="D28" s="26"/>
      <c r="E28" s="26"/>
      <c r="F28" s="27"/>
    </row>
    <row r="31" spans="1:6">
      <c r="A31" s="57"/>
      <c r="D31" s="58"/>
    </row>
    <row r="32" spans="1:6">
      <c r="A32" s="57"/>
    </row>
    <row r="33" spans="1:4">
      <c r="A33" s="57"/>
      <c r="D33" s="59"/>
    </row>
    <row r="34" spans="1:4">
      <c r="A34" s="60"/>
    </row>
    <row r="35" spans="1:4">
      <c r="A35" s="60"/>
      <c r="D35" s="61"/>
    </row>
  </sheetData>
  <mergeCells count="2">
    <mergeCell ref="I4:O4"/>
    <mergeCell ref="A26:F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870C6-EF65-42F1-AB0E-2D6F01FBA50D}">
  <dimension ref="A1:N41"/>
  <sheetViews>
    <sheetView zoomScale="90" zoomScaleNormal="90" workbookViewId="0"/>
  </sheetViews>
  <sheetFormatPr defaultColWidth="8.7265625" defaultRowHeight="14.5"/>
  <cols>
    <col min="1" max="1" width="8.26953125" style="1" customWidth="1"/>
    <col min="2" max="2" width="7.26953125" style="1" customWidth="1"/>
    <col min="3" max="3" width="26.453125" style="1" customWidth="1"/>
    <col min="4" max="4" width="10.7265625" style="1" customWidth="1"/>
    <col min="5" max="5" width="11.7265625" style="1" bestFit="1" customWidth="1"/>
    <col min="6" max="6" width="11.26953125" style="1" customWidth="1"/>
    <col min="7" max="7" width="10.7265625" style="1" customWidth="1"/>
    <col min="8" max="8" width="8.7265625" style="1"/>
    <col min="9" max="9" width="17.7265625" style="1" customWidth="1"/>
    <col min="10" max="10" width="12" style="1" bestFit="1" customWidth="1"/>
    <col min="11" max="11" width="12" style="1" customWidth="1"/>
    <col min="12" max="12" width="12.26953125" style="1" bestFit="1" customWidth="1"/>
    <col min="13" max="13" width="21.26953125" style="1" bestFit="1" customWidth="1"/>
    <col min="14" max="14" width="12.26953125" style="1" customWidth="1"/>
    <col min="15" max="59" width="10.7265625" style="1" customWidth="1"/>
    <col min="60" max="16384" width="8.7265625" style="1"/>
  </cols>
  <sheetData>
    <row r="1" spans="1:14">
      <c r="A1" s="2" t="s">
        <v>39</v>
      </c>
      <c r="B1" s="17"/>
      <c r="C1" s="3"/>
      <c r="D1" s="3"/>
      <c r="E1" s="3"/>
      <c r="F1" s="3"/>
      <c r="G1" s="3"/>
      <c r="H1" s="3"/>
      <c r="I1" s="3"/>
      <c r="J1" s="3"/>
      <c r="K1" s="3"/>
      <c r="L1" s="3"/>
      <c r="M1" s="3"/>
      <c r="N1" s="4"/>
    </row>
    <row r="2" spans="1:14">
      <c r="A2" s="5"/>
      <c r="B2" s="6" t="s">
        <v>40</v>
      </c>
      <c r="C2" s="6"/>
      <c r="D2" s="6"/>
      <c r="E2" s="6"/>
      <c r="F2" s="6"/>
      <c r="G2" s="6"/>
      <c r="H2" s="6"/>
      <c r="I2" s="6"/>
      <c r="J2" s="6"/>
      <c r="K2" s="6"/>
      <c r="L2" s="6"/>
      <c r="M2" s="6"/>
      <c r="N2" s="7"/>
    </row>
    <row r="3" spans="1:14">
      <c r="A3" s="5"/>
      <c r="C3" s="6"/>
      <c r="D3" s="6"/>
      <c r="E3" s="6"/>
      <c r="F3" s="6"/>
      <c r="G3" s="6"/>
      <c r="H3" s="6"/>
      <c r="I3" s="6"/>
      <c r="J3" s="6"/>
      <c r="K3" s="6"/>
      <c r="L3" s="6"/>
      <c r="M3" s="6"/>
      <c r="N3" s="7"/>
    </row>
    <row r="4" spans="1:14">
      <c r="A4" s="62"/>
      <c r="B4" s="63"/>
      <c r="C4" s="64" t="s">
        <v>41</v>
      </c>
      <c r="D4" s="65">
        <v>0.02</v>
      </c>
      <c r="E4" s="66"/>
      <c r="F4" s="63"/>
      <c r="G4" s="63"/>
      <c r="H4" s="63"/>
      <c r="I4" s="67"/>
      <c r="J4" s="511" t="s">
        <v>42</v>
      </c>
      <c r="K4" s="512"/>
      <c r="L4" s="512"/>
      <c r="M4" s="513"/>
      <c r="N4" s="68"/>
    </row>
    <row r="5" spans="1:14">
      <c r="A5" s="62"/>
      <c r="B5" s="63"/>
      <c r="C5" s="69" t="s">
        <v>43</v>
      </c>
      <c r="D5" s="70">
        <v>0.03</v>
      </c>
      <c r="E5" s="66"/>
      <c r="F5" s="63"/>
      <c r="G5" s="63"/>
      <c r="H5" s="63"/>
      <c r="I5" s="71" t="s">
        <v>44</v>
      </c>
      <c r="J5" s="72">
        <v>12</v>
      </c>
      <c r="K5" s="73">
        <v>24</v>
      </c>
      <c r="L5" s="73">
        <v>36</v>
      </c>
      <c r="M5" s="74">
        <v>48</v>
      </c>
      <c r="N5" s="68"/>
    </row>
    <row r="6" spans="1:14">
      <c r="A6" s="62"/>
      <c r="B6" s="63"/>
      <c r="C6" s="69" t="s">
        <v>45</v>
      </c>
      <c r="D6" s="70">
        <v>0.01</v>
      </c>
      <c r="E6" s="66"/>
      <c r="F6" s="63"/>
      <c r="G6" s="63"/>
      <c r="H6" s="63"/>
      <c r="I6" s="75">
        <v>2018</v>
      </c>
      <c r="J6" s="76"/>
      <c r="K6" s="77"/>
      <c r="L6" s="77">
        <v>13569999.999999998</v>
      </c>
      <c r="M6" s="78">
        <v>14696999.999999998</v>
      </c>
      <c r="N6" s="68"/>
    </row>
    <row r="7" spans="1:14">
      <c r="A7" s="62"/>
      <c r="B7" s="63"/>
      <c r="C7" s="69" t="s">
        <v>46</v>
      </c>
      <c r="D7" s="70">
        <v>0.04</v>
      </c>
      <c r="E7" s="66"/>
      <c r="F7" s="63"/>
      <c r="G7" s="63"/>
      <c r="H7" s="63"/>
      <c r="I7" s="79">
        <v>2019</v>
      </c>
      <c r="J7" s="80"/>
      <c r="K7" s="81">
        <v>9401250</v>
      </c>
      <c r="L7" s="81">
        <v>10074000</v>
      </c>
      <c r="M7" s="82">
        <v>10810000</v>
      </c>
      <c r="N7" s="68"/>
    </row>
    <row r="8" spans="1:14">
      <c r="A8" s="62"/>
      <c r="B8" s="63"/>
      <c r="C8" s="69" t="s">
        <v>31</v>
      </c>
      <c r="D8" s="70">
        <v>0.06</v>
      </c>
      <c r="E8" s="66"/>
      <c r="F8" s="63"/>
      <c r="G8" s="63"/>
      <c r="H8" s="63"/>
      <c r="I8" s="79">
        <v>2020</v>
      </c>
      <c r="J8" s="80">
        <v>11608675</v>
      </c>
      <c r="K8" s="81">
        <v>15977812.499999998</v>
      </c>
      <c r="L8" s="81">
        <v>16818750</v>
      </c>
      <c r="M8" s="82">
        <v>17252300</v>
      </c>
      <c r="N8" s="68"/>
    </row>
    <row r="9" spans="1:14">
      <c r="A9" s="62"/>
      <c r="B9" s="63"/>
      <c r="C9" s="83" t="s">
        <v>47</v>
      </c>
      <c r="D9" s="84">
        <v>1.1100000000000001</v>
      </c>
      <c r="E9" s="66"/>
      <c r="F9" s="63"/>
      <c r="G9" s="63"/>
      <c r="H9" s="63"/>
      <c r="I9" s="79">
        <v>2021</v>
      </c>
      <c r="J9" s="80">
        <v>9224725</v>
      </c>
      <c r="K9" s="81">
        <v>12773624.999999998</v>
      </c>
      <c r="L9" s="81">
        <v>13512499.999999998</v>
      </c>
      <c r="M9" s="85"/>
      <c r="N9" s="68"/>
    </row>
    <row r="10" spans="1:14">
      <c r="A10" s="62"/>
      <c r="B10" s="63"/>
      <c r="C10" s="63"/>
      <c r="D10" s="63"/>
      <c r="E10" s="66"/>
      <c r="F10" s="63"/>
      <c r="G10" s="63"/>
      <c r="H10" s="63"/>
      <c r="I10" s="79">
        <v>2022</v>
      </c>
      <c r="J10" s="80">
        <v>8110949.9999999991</v>
      </c>
      <c r="K10" s="81">
        <v>11299468.75</v>
      </c>
      <c r="L10" s="86"/>
      <c r="M10" s="85"/>
      <c r="N10" s="68"/>
    </row>
    <row r="11" spans="1:14">
      <c r="A11" s="62"/>
      <c r="B11" s="63"/>
      <c r="C11" s="87" t="s">
        <v>48</v>
      </c>
      <c r="D11" s="87" t="s">
        <v>49</v>
      </c>
      <c r="E11" s="88" t="s">
        <v>50</v>
      </c>
      <c r="F11" s="63"/>
      <c r="G11" s="63"/>
      <c r="H11" s="63"/>
      <c r="I11" s="71">
        <v>2023</v>
      </c>
      <c r="J11" s="89">
        <v>8763000</v>
      </c>
      <c r="K11" s="90"/>
      <c r="L11" s="90"/>
      <c r="M11" s="91"/>
      <c r="N11" s="68"/>
    </row>
    <row r="12" spans="1:14">
      <c r="A12" s="62"/>
      <c r="B12" s="63"/>
      <c r="C12" s="92" t="s">
        <v>51</v>
      </c>
      <c r="D12" s="93">
        <v>4185000</v>
      </c>
      <c r="E12" s="94">
        <v>1</v>
      </c>
      <c r="F12" s="63"/>
      <c r="G12" s="63"/>
      <c r="H12" s="63"/>
      <c r="I12" s="66"/>
      <c r="J12" s="66"/>
      <c r="K12" s="66"/>
      <c r="L12" s="66"/>
      <c r="M12" s="66"/>
      <c r="N12" s="68"/>
    </row>
    <row r="13" spans="1:14">
      <c r="A13" s="62"/>
      <c r="B13" s="63"/>
      <c r="C13" s="95" t="s">
        <v>52</v>
      </c>
      <c r="D13" s="96">
        <v>1564000</v>
      </c>
      <c r="E13" s="97">
        <v>1</v>
      </c>
      <c r="F13" s="63"/>
      <c r="G13" s="63"/>
      <c r="H13" s="63"/>
      <c r="I13" s="67"/>
      <c r="J13" s="511" t="s">
        <v>53</v>
      </c>
      <c r="K13" s="512"/>
      <c r="L13" s="512"/>
      <c r="M13" s="513"/>
      <c r="N13" s="68"/>
    </row>
    <row r="14" spans="1:14">
      <c r="A14" s="62"/>
      <c r="B14" s="63"/>
      <c r="C14" s="95" t="s">
        <v>54</v>
      </c>
      <c r="D14" s="96">
        <v>7256000</v>
      </c>
      <c r="E14" s="97">
        <v>0</v>
      </c>
      <c r="F14" s="63"/>
      <c r="G14" s="63"/>
      <c r="H14" s="63"/>
      <c r="I14" s="71" t="s">
        <v>44</v>
      </c>
      <c r="J14" s="72">
        <v>12</v>
      </c>
      <c r="K14" s="73">
        <v>24</v>
      </c>
      <c r="L14" s="73">
        <v>36</v>
      </c>
      <c r="M14" s="74">
        <v>48</v>
      </c>
      <c r="N14" s="68"/>
    </row>
    <row r="15" spans="1:14">
      <c r="A15" s="62"/>
      <c r="B15" s="63"/>
      <c r="C15" s="98" t="s">
        <v>55</v>
      </c>
      <c r="D15" s="99">
        <v>2000500</v>
      </c>
      <c r="E15" s="100">
        <v>0</v>
      </c>
      <c r="F15" s="63"/>
      <c r="G15" s="63"/>
      <c r="H15" s="63"/>
      <c r="I15" s="75">
        <v>2018</v>
      </c>
      <c r="J15" s="101"/>
      <c r="K15" s="102"/>
      <c r="L15" s="77">
        <v>46</v>
      </c>
      <c r="M15" s="78">
        <v>0</v>
      </c>
      <c r="N15" s="68"/>
    </row>
    <row r="16" spans="1:14">
      <c r="A16" s="62"/>
      <c r="B16" s="63"/>
      <c r="C16" s="66"/>
      <c r="D16" s="66"/>
      <c r="E16" s="66"/>
      <c r="F16" s="63"/>
      <c r="G16" s="63"/>
      <c r="H16" s="63"/>
      <c r="I16" s="79">
        <v>2019</v>
      </c>
      <c r="J16" s="103"/>
      <c r="K16" s="86">
        <v>61</v>
      </c>
      <c r="L16" s="81">
        <v>28</v>
      </c>
      <c r="M16" s="104">
        <v>0</v>
      </c>
      <c r="N16" s="68"/>
    </row>
    <row r="17" spans="1:14">
      <c r="A17" s="62"/>
      <c r="B17" s="63"/>
      <c r="C17" s="63"/>
      <c r="D17" s="514" t="s">
        <v>56</v>
      </c>
      <c r="E17" s="515"/>
      <c r="F17" s="515"/>
      <c r="G17" s="516"/>
      <c r="H17" s="63"/>
      <c r="I17" s="79">
        <v>2020</v>
      </c>
      <c r="J17" s="103">
        <v>352</v>
      </c>
      <c r="K17" s="86">
        <v>51</v>
      </c>
      <c r="L17" s="81">
        <v>42</v>
      </c>
      <c r="M17" s="105">
        <v>0</v>
      </c>
      <c r="N17" s="68"/>
    </row>
    <row r="18" spans="1:14">
      <c r="A18" s="62"/>
      <c r="B18" s="63"/>
      <c r="C18" s="106"/>
      <c r="D18" s="87">
        <v>2021</v>
      </c>
      <c r="E18" s="87">
        <v>2022</v>
      </c>
      <c r="F18" s="87">
        <v>2023</v>
      </c>
      <c r="G18" s="87" t="s">
        <v>49</v>
      </c>
      <c r="H18" s="63"/>
      <c r="I18" s="79">
        <v>2021</v>
      </c>
      <c r="J18" s="103">
        <v>451</v>
      </c>
      <c r="K18" s="86">
        <v>68</v>
      </c>
      <c r="L18" s="81">
        <v>33</v>
      </c>
      <c r="M18" s="85"/>
      <c r="N18" s="68"/>
    </row>
    <row r="19" spans="1:14">
      <c r="A19" s="62"/>
      <c r="B19" s="63"/>
      <c r="C19" s="107" t="s">
        <v>25</v>
      </c>
      <c r="D19" s="108">
        <v>19650000</v>
      </c>
      <c r="E19" s="108">
        <v>20470000</v>
      </c>
      <c r="F19" s="108">
        <v>22986000</v>
      </c>
      <c r="G19" s="108">
        <f>D19+E19+F19</f>
        <v>63106000</v>
      </c>
      <c r="H19" s="63"/>
      <c r="I19" s="79">
        <v>2022</v>
      </c>
      <c r="J19" s="103">
        <v>325</v>
      </c>
      <c r="K19" s="86">
        <v>55</v>
      </c>
      <c r="L19" s="86"/>
      <c r="M19" s="85"/>
      <c r="N19" s="68"/>
    </row>
    <row r="20" spans="1:14">
      <c r="A20" s="62"/>
      <c r="B20" s="63"/>
      <c r="C20" s="109" t="s">
        <v>57</v>
      </c>
      <c r="D20" s="110">
        <v>3200</v>
      </c>
      <c r="E20" s="110">
        <v>3350</v>
      </c>
      <c r="F20" s="110">
        <v>3510</v>
      </c>
      <c r="G20" s="110">
        <f>D20+E20+F20</f>
        <v>10060</v>
      </c>
      <c r="H20" s="63"/>
      <c r="I20" s="71">
        <v>2023</v>
      </c>
      <c r="J20" s="111">
        <v>385</v>
      </c>
      <c r="K20" s="90"/>
      <c r="L20" s="90"/>
      <c r="M20" s="91"/>
      <c r="N20" s="68"/>
    </row>
    <row r="21" spans="1:14">
      <c r="A21" s="62"/>
      <c r="B21" s="63"/>
      <c r="C21" s="109" t="s">
        <v>24</v>
      </c>
      <c r="D21" s="110">
        <v>17905000</v>
      </c>
      <c r="E21" s="110">
        <v>19650000</v>
      </c>
      <c r="F21" s="110">
        <v>20450000</v>
      </c>
      <c r="G21" s="110">
        <f>D21+E21+F21</f>
        <v>58005000</v>
      </c>
      <c r="H21" s="63"/>
      <c r="I21" s="63"/>
      <c r="J21" s="63"/>
      <c r="K21" s="63"/>
      <c r="L21" s="63"/>
      <c r="M21" s="63"/>
      <c r="N21" s="68"/>
    </row>
    <row r="22" spans="1:14">
      <c r="A22" s="62"/>
      <c r="B22" s="63"/>
      <c r="C22" s="112" t="s">
        <v>58</v>
      </c>
      <c r="D22" s="113">
        <v>3100</v>
      </c>
      <c r="E22" s="113">
        <v>3275</v>
      </c>
      <c r="F22" s="113">
        <v>3495</v>
      </c>
      <c r="G22" s="113">
        <f>D22+E22+F22</f>
        <v>9870</v>
      </c>
      <c r="H22" s="63"/>
      <c r="I22" s="114"/>
      <c r="J22" s="115" t="s">
        <v>59</v>
      </c>
      <c r="K22" s="116"/>
      <c r="L22" s="117"/>
      <c r="M22" s="117" t="s">
        <v>60</v>
      </c>
      <c r="N22" s="68"/>
    </row>
    <row r="23" spans="1:14">
      <c r="A23" s="62"/>
      <c r="B23" s="63"/>
      <c r="C23" s="63"/>
      <c r="D23" s="63"/>
      <c r="E23" s="63"/>
      <c r="F23" s="63"/>
      <c r="G23" s="63"/>
      <c r="H23" s="63"/>
      <c r="I23" s="71" t="s">
        <v>44</v>
      </c>
      <c r="J23" s="74" t="s">
        <v>61</v>
      </c>
      <c r="K23" s="63"/>
      <c r="L23" s="71" t="s">
        <v>44</v>
      </c>
      <c r="M23" s="79" t="s">
        <v>62</v>
      </c>
      <c r="N23" s="68"/>
    </row>
    <row r="24" spans="1:14">
      <c r="A24" s="62"/>
      <c r="B24" s="63"/>
      <c r="C24" s="63"/>
      <c r="D24" s="63"/>
      <c r="E24" s="63"/>
      <c r="F24" s="63"/>
      <c r="G24" s="63"/>
      <c r="H24" s="116"/>
      <c r="I24" s="118" t="s">
        <v>63</v>
      </c>
      <c r="J24" s="108">
        <v>6900</v>
      </c>
      <c r="K24" s="63"/>
      <c r="L24" s="119">
        <v>2023</v>
      </c>
      <c r="M24" s="120">
        <v>14223000</v>
      </c>
      <c r="N24" s="68"/>
    </row>
    <row r="25" spans="1:14">
      <c r="A25" s="62"/>
      <c r="B25" s="63"/>
      <c r="C25" s="121" t="s">
        <v>64</v>
      </c>
      <c r="D25" s="63"/>
      <c r="E25" s="63"/>
      <c r="F25" s="63"/>
      <c r="G25" s="122"/>
      <c r="H25" s="63"/>
      <c r="I25" s="118" t="s">
        <v>65</v>
      </c>
      <c r="J25" s="110">
        <v>8700</v>
      </c>
      <c r="K25" s="63"/>
      <c r="L25" s="119">
        <v>2022</v>
      </c>
      <c r="M25" s="123">
        <v>13056000</v>
      </c>
      <c r="N25" s="68"/>
    </row>
    <row r="26" spans="1:14">
      <c r="A26" s="62"/>
      <c r="B26" s="63"/>
      <c r="C26" s="121" t="s">
        <v>66</v>
      </c>
      <c r="D26" s="116"/>
      <c r="E26" s="66"/>
      <c r="F26" s="63"/>
      <c r="G26" s="63"/>
      <c r="H26" s="63"/>
      <c r="I26" s="124" t="s">
        <v>67</v>
      </c>
      <c r="J26" s="113">
        <v>9800</v>
      </c>
      <c r="K26" s="63"/>
      <c r="L26" s="72">
        <v>2021</v>
      </c>
      <c r="M26" s="125">
        <v>13980000</v>
      </c>
      <c r="N26" s="68"/>
    </row>
    <row r="27" spans="1:14">
      <c r="A27" s="62"/>
      <c r="B27" s="63"/>
      <c r="C27" s="121" t="s">
        <v>68</v>
      </c>
      <c r="D27" s="116"/>
      <c r="E27" s="66"/>
      <c r="F27" s="63"/>
      <c r="G27" s="63"/>
      <c r="H27" s="63"/>
      <c r="I27" s="63"/>
      <c r="J27" s="63"/>
      <c r="K27" s="63"/>
      <c r="L27" s="63"/>
      <c r="M27" s="63"/>
      <c r="N27" s="68"/>
    </row>
    <row r="28" spans="1:14">
      <c r="A28" s="62"/>
      <c r="B28" s="63"/>
      <c r="C28" s="126" t="s">
        <v>69</v>
      </c>
      <c r="D28" s="116"/>
      <c r="E28" s="66"/>
      <c r="F28" s="63"/>
      <c r="G28" s="63"/>
      <c r="H28" s="63"/>
      <c r="I28" s="63"/>
      <c r="J28" s="63"/>
      <c r="K28" s="63"/>
      <c r="L28" s="63"/>
      <c r="M28" s="63"/>
      <c r="N28" s="68"/>
    </row>
    <row r="29" spans="1:14">
      <c r="A29" s="62"/>
      <c r="B29" s="63"/>
      <c r="C29" s="126" t="s">
        <v>70</v>
      </c>
      <c r="D29" s="116"/>
      <c r="E29" s="66"/>
      <c r="F29" s="63"/>
      <c r="G29" s="63"/>
      <c r="H29" s="63"/>
      <c r="I29" s="63"/>
      <c r="J29" s="63"/>
      <c r="K29" s="63"/>
      <c r="L29" s="63"/>
      <c r="M29" s="63"/>
      <c r="N29" s="68"/>
    </row>
    <row r="30" spans="1:14">
      <c r="A30" s="62"/>
      <c r="B30" s="63"/>
      <c r="C30" s="126" t="s">
        <v>71</v>
      </c>
      <c r="D30" s="116"/>
      <c r="E30" s="66"/>
      <c r="F30" s="63"/>
      <c r="G30" s="63"/>
      <c r="H30" s="63"/>
      <c r="I30" s="63"/>
      <c r="J30" s="63"/>
      <c r="K30" s="63"/>
      <c r="L30" s="63"/>
      <c r="M30" s="63"/>
      <c r="N30" s="68"/>
    </row>
    <row r="31" spans="1:14">
      <c r="A31" s="62"/>
      <c r="B31" s="63"/>
      <c r="C31" s="126" t="s">
        <v>72</v>
      </c>
      <c r="D31" s="116"/>
      <c r="E31" s="66"/>
      <c r="F31" s="63"/>
      <c r="G31" s="63"/>
      <c r="H31" s="63"/>
      <c r="I31" s="63"/>
      <c r="J31" s="6"/>
      <c r="K31" s="63"/>
      <c r="L31" s="63"/>
      <c r="M31" s="63"/>
      <c r="N31" s="68"/>
    </row>
    <row r="32" spans="1:14">
      <c r="A32" s="62"/>
      <c r="B32" s="63"/>
      <c r="C32" s="126"/>
      <c r="D32" s="116"/>
      <c r="E32" s="66"/>
      <c r="F32" s="63"/>
      <c r="G32" s="63"/>
      <c r="H32" s="63"/>
      <c r="I32" s="63"/>
      <c r="J32" s="6"/>
      <c r="K32" s="63"/>
      <c r="L32" s="63"/>
      <c r="M32" s="63"/>
      <c r="N32" s="68"/>
    </row>
    <row r="33" spans="1:14">
      <c r="A33" s="62"/>
      <c r="B33" s="6" t="s">
        <v>73</v>
      </c>
      <c r="C33" s="126"/>
      <c r="D33" s="418"/>
      <c r="E33" s="66"/>
      <c r="F33" s="63"/>
      <c r="G33" s="63"/>
      <c r="H33" s="63"/>
      <c r="I33" s="63"/>
      <c r="J33" s="6"/>
      <c r="K33" s="63"/>
      <c r="L33" s="63"/>
      <c r="M33" s="63"/>
      <c r="N33" s="68"/>
    </row>
    <row r="34" spans="1:14">
      <c r="A34" s="132" t="s">
        <v>74</v>
      </c>
      <c r="B34" s="133"/>
      <c r="C34" s="133"/>
      <c r="E34" s="17"/>
      <c r="F34" s="17"/>
      <c r="G34" s="17"/>
      <c r="H34" s="17"/>
      <c r="I34" s="17"/>
      <c r="J34" s="17"/>
      <c r="K34" s="17"/>
      <c r="L34" s="17"/>
      <c r="M34" s="17"/>
      <c r="N34" s="12"/>
    </row>
    <row r="35" spans="1:14">
      <c r="A35" s="44" t="s">
        <v>75</v>
      </c>
      <c r="B35" s="45"/>
      <c r="C35" s="45"/>
      <c r="D35" s="26"/>
      <c r="E35" s="127"/>
      <c r="F35" s="26"/>
      <c r="G35" s="26"/>
      <c r="H35" s="26"/>
      <c r="I35" s="26"/>
      <c r="J35" s="26"/>
      <c r="K35" s="26"/>
      <c r="L35" s="26"/>
      <c r="M35" s="26"/>
      <c r="N35" s="27"/>
    </row>
    <row r="39" spans="1:14">
      <c r="A39" s="128"/>
    </row>
    <row r="40" spans="1:14">
      <c r="A40" s="57"/>
    </row>
    <row r="41" spans="1:14">
      <c r="A41" s="57"/>
    </row>
  </sheetData>
  <mergeCells count="3">
    <mergeCell ref="J4:M4"/>
    <mergeCell ref="J13:M13"/>
    <mergeCell ref="D17:G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0E26F-5061-4FAE-88C3-5C83E2480CA2}">
  <dimension ref="A1:J46"/>
  <sheetViews>
    <sheetView zoomScale="90" zoomScaleNormal="90" workbookViewId="0"/>
  </sheetViews>
  <sheetFormatPr defaultColWidth="8.7265625" defaultRowHeight="14.5"/>
  <cols>
    <col min="1" max="1" width="12" style="1" customWidth="1"/>
    <col min="2" max="2" width="11.26953125" style="1" customWidth="1"/>
    <col min="3" max="3" width="12.453125" style="1" customWidth="1"/>
    <col min="4" max="4" width="8.7265625" style="1"/>
    <col min="5" max="5" width="9.7265625" style="1" customWidth="1"/>
    <col min="6" max="6" width="15.453125" style="1" customWidth="1"/>
    <col min="7" max="10" width="8.7265625" style="1"/>
    <col min="11" max="59" width="10.7265625" style="1" customWidth="1"/>
    <col min="60" max="16384" width="8.7265625" style="1"/>
  </cols>
  <sheetData>
    <row r="1" spans="1:8">
      <c r="A1" s="421" t="s">
        <v>14</v>
      </c>
      <c r="B1" s="420"/>
      <c r="C1" s="420"/>
      <c r="D1" s="420"/>
      <c r="E1" s="420"/>
      <c r="F1" s="420"/>
      <c r="G1" s="422"/>
      <c r="H1" s="423"/>
    </row>
    <row r="2" spans="1:8">
      <c r="A2" s="424"/>
      <c r="B2" s="425" t="s">
        <v>76</v>
      </c>
      <c r="C2" s="425"/>
      <c r="D2" s="425"/>
      <c r="E2" s="425"/>
      <c r="F2" s="425"/>
      <c r="G2" s="425"/>
      <c r="H2" s="426"/>
    </row>
    <row r="3" spans="1:8">
      <c r="A3" s="424"/>
      <c r="B3" s="425"/>
      <c r="C3" s="425"/>
      <c r="D3" s="425"/>
      <c r="E3" s="425"/>
      <c r="F3" s="425"/>
      <c r="G3" s="427"/>
      <c r="H3" s="426"/>
    </row>
    <row r="4" spans="1:8">
      <c r="A4" s="424"/>
      <c r="B4" s="425" t="s">
        <v>77</v>
      </c>
      <c r="C4" s="425"/>
      <c r="D4" s="425"/>
      <c r="E4" s="425"/>
      <c r="F4" s="425"/>
      <c r="G4" s="427"/>
      <c r="H4" s="426"/>
    </row>
    <row r="5" spans="1:8" ht="29.15" customHeight="1">
      <c r="A5" s="424"/>
      <c r="B5" s="517" t="s">
        <v>78</v>
      </c>
      <c r="C5" s="517"/>
      <c r="D5" s="517"/>
      <c r="E5" s="517"/>
      <c r="F5" s="517"/>
      <c r="G5" s="517"/>
      <c r="H5" s="518"/>
    </row>
    <row r="6" spans="1:8">
      <c r="A6" s="428"/>
      <c r="B6" s="425" t="s">
        <v>79</v>
      </c>
      <c r="C6" s="425"/>
      <c r="D6" s="425"/>
      <c r="E6" s="425"/>
      <c r="F6" s="425"/>
      <c r="G6" s="427"/>
      <c r="H6" s="426"/>
    </row>
    <row r="7" spans="1:8">
      <c r="A7" s="428"/>
      <c r="B7" s="425"/>
      <c r="C7" s="425"/>
      <c r="D7" s="425"/>
      <c r="E7" s="425"/>
      <c r="F7" s="425"/>
      <c r="G7" s="427"/>
      <c r="H7" s="426"/>
    </row>
    <row r="8" spans="1:8">
      <c r="A8" s="428"/>
      <c r="B8" s="425" t="s">
        <v>80</v>
      </c>
      <c r="C8" s="425"/>
      <c r="D8" s="425"/>
      <c r="E8" s="425"/>
      <c r="F8" s="425"/>
      <c r="G8" s="427"/>
      <c r="H8" s="426"/>
    </row>
    <row r="9" spans="1:8">
      <c r="A9" s="428"/>
      <c r="B9" s="429"/>
      <c r="C9" s="430"/>
      <c r="D9" s="431" t="s">
        <v>81</v>
      </c>
      <c r="E9" s="430"/>
      <c r="F9" s="432"/>
      <c r="G9" s="427"/>
      <c r="H9" s="426"/>
    </row>
    <row r="10" spans="1:8">
      <c r="A10" s="428"/>
      <c r="B10" s="433"/>
      <c r="C10" s="433"/>
      <c r="D10" s="433" t="s">
        <v>82</v>
      </c>
      <c r="E10" s="433"/>
      <c r="F10" s="434"/>
      <c r="G10" s="427"/>
      <c r="H10" s="426"/>
    </row>
    <row r="11" spans="1:8">
      <c r="A11" s="435"/>
      <c r="B11" s="436"/>
      <c r="C11" s="436" t="s">
        <v>3</v>
      </c>
      <c r="D11" s="436" t="s">
        <v>83</v>
      </c>
      <c r="E11" s="436" t="s">
        <v>84</v>
      </c>
      <c r="F11" s="437" t="s">
        <v>85</v>
      </c>
      <c r="G11" s="427"/>
      <c r="H11" s="426"/>
    </row>
    <row r="12" spans="1:8">
      <c r="A12" s="428"/>
      <c r="B12" s="438" t="s">
        <v>86</v>
      </c>
      <c r="C12" s="438" t="s">
        <v>87</v>
      </c>
      <c r="D12" s="438" t="s">
        <v>88</v>
      </c>
      <c r="E12" s="438" t="s">
        <v>89</v>
      </c>
      <c r="F12" s="439" t="s">
        <v>90</v>
      </c>
      <c r="G12" s="427"/>
      <c r="H12" s="426"/>
    </row>
    <row r="13" spans="1:8">
      <c r="A13" s="428"/>
      <c r="B13" s="440">
        <v>2015</v>
      </c>
      <c r="C13" s="441">
        <v>5000000</v>
      </c>
      <c r="D13" s="441">
        <v>100</v>
      </c>
      <c r="E13" s="441">
        <v>500000</v>
      </c>
      <c r="F13" s="442">
        <v>300000</v>
      </c>
      <c r="G13" s="427"/>
      <c r="H13" s="426"/>
    </row>
    <row r="14" spans="1:8">
      <c r="A14" s="428"/>
      <c r="B14" s="440">
        <v>2016</v>
      </c>
      <c r="C14" s="441">
        <v>10000000</v>
      </c>
      <c r="D14" s="441">
        <v>100</v>
      </c>
      <c r="E14" s="441">
        <v>500000</v>
      </c>
      <c r="F14" s="442">
        <v>375000</v>
      </c>
      <c r="G14" s="427"/>
      <c r="H14" s="426"/>
    </row>
    <row r="15" spans="1:8">
      <c r="A15" s="428"/>
      <c r="B15" s="440">
        <v>2017</v>
      </c>
      <c r="C15" s="441">
        <v>7500000</v>
      </c>
      <c r="D15" s="441">
        <v>100</v>
      </c>
      <c r="E15" s="441">
        <v>500000</v>
      </c>
      <c r="F15" s="442">
        <v>450000</v>
      </c>
      <c r="G15" s="427"/>
      <c r="H15" s="426"/>
    </row>
    <row r="16" spans="1:8">
      <c r="A16" s="428"/>
      <c r="B16" s="440" t="s">
        <v>91</v>
      </c>
      <c r="C16" s="441">
        <v>22500000</v>
      </c>
      <c r="D16" s="441">
        <v>300</v>
      </c>
      <c r="E16" s="441">
        <v>1500000</v>
      </c>
      <c r="F16" s="442">
        <v>1125000</v>
      </c>
      <c r="G16" s="427"/>
      <c r="H16" s="426"/>
    </row>
    <row r="17" spans="1:10">
      <c r="A17" s="428"/>
      <c r="B17" s="425"/>
      <c r="C17" s="425"/>
      <c r="D17" s="425"/>
      <c r="E17" s="425"/>
      <c r="F17" s="443"/>
      <c r="G17" s="427"/>
      <c r="H17" s="426"/>
    </row>
    <row r="18" spans="1:10">
      <c r="A18" s="428"/>
      <c r="B18" s="444">
        <v>2000</v>
      </c>
      <c r="C18" s="445" t="s">
        <v>92</v>
      </c>
      <c r="D18" s="446"/>
      <c r="E18" s="446"/>
      <c r="F18" s="447"/>
      <c r="G18" s="427"/>
      <c r="H18" s="426"/>
    </row>
    <row r="19" spans="1:10">
      <c r="A19" s="428"/>
      <c r="B19" s="448">
        <v>0.06</v>
      </c>
      <c r="C19" s="449" t="s">
        <v>93</v>
      </c>
      <c r="D19" s="450"/>
      <c r="E19" s="450"/>
      <c r="F19" s="447"/>
      <c r="G19" s="427"/>
      <c r="H19" s="426"/>
    </row>
    <row r="20" spans="1:10">
      <c r="A20" s="435"/>
      <c r="B20" s="448">
        <v>0.7</v>
      </c>
      <c r="C20" s="449" t="s">
        <v>94</v>
      </c>
      <c r="D20" s="446"/>
      <c r="E20" s="446"/>
      <c r="F20" s="451"/>
      <c r="G20" s="427"/>
      <c r="H20" s="426"/>
    </row>
    <row r="21" spans="1:10">
      <c r="A21" s="428"/>
      <c r="B21" s="452">
        <v>500000</v>
      </c>
      <c r="C21" s="449" t="s">
        <v>95</v>
      </c>
      <c r="D21" s="446"/>
      <c r="E21" s="446"/>
      <c r="F21" s="451"/>
      <c r="G21" s="427"/>
      <c r="H21" s="426"/>
    </row>
    <row r="22" spans="1:10" ht="15" thickBot="1">
      <c r="A22" s="428"/>
      <c r="B22" s="425"/>
      <c r="C22" s="425"/>
      <c r="D22" s="427"/>
      <c r="E22" s="427"/>
      <c r="F22" s="453"/>
      <c r="G22" s="427"/>
      <c r="H22" s="426"/>
    </row>
    <row r="23" spans="1:10" ht="15" thickBot="1">
      <c r="A23" s="454" t="s">
        <v>32</v>
      </c>
      <c r="B23" s="455"/>
      <c r="C23" s="456"/>
      <c r="D23" s="456"/>
      <c r="E23" s="456"/>
      <c r="F23" s="457"/>
      <c r="G23" s="458"/>
      <c r="H23" s="459"/>
    </row>
    <row r="27" spans="1:10">
      <c r="A27" s="22"/>
      <c r="B27" s="22"/>
      <c r="C27" s="22"/>
      <c r="D27" s="22"/>
      <c r="E27" s="22"/>
      <c r="F27" s="22"/>
      <c r="G27" s="22"/>
      <c r="H27" s="22"/>
      <c r="I27" s="22"/>
      <c r="J27" s="22"/>
    </row>
    <row r="28" spans="1:10">
      <c r="A28" s="22"/>
    </row>
    <row r="29" spans="1:10">
      <c r="A29" s="22"/>
    </row>
    <row r="30" spans="1:10">
      <c r="A30" s="22"/>
    </row>
    <row r="45" spans="1:1">
      <c r="A45" s="128"/>
    </row>
    <row r="46" spans="1:1">
      <c r="A46" s="57"/>
    </row>
  </sheetData>
  <mergeCells count="1">
    <mergeCell ref="B5:H5"/>
  </mergeCells>
  <conditionalFormatting sqref="F23">
    <cfRule type="expression" dxfId="39" priority="1">
      <formula>CELL("protect",F23)=1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FE0B-33EA-4311-BA88-061E71A29C00}">
  <dimension ref="A1:Q52"/>
  <sheetViews>
    <sheetView zoomScale="90" zoomScaleNormal="90" workbookViewId="0"/>
  </sheetViews>
  <sheetFormatPr defaultColWidth="8.7265625" defaultRowHeight="14.5"/>
  <cols>
    <col min="1" max="1" width="7.26953125" style="1" customWidth="1"/>
    <col min="2" max="2" width="8.7265625" style="1" customWidth="1"/>
    <col min="3" max="3" width="3.453125" style="1" customWidth="1"/>
    <col min="4" max="10" width="8.7265625" style="1"/>
    <col min="11" max="59" width="10.7265625" style="1" customWidth="1"/>
    <col min="60" max="16384" width="8.7265625" style="1"/>
  </cols>
  <sheetData>
    <row r="1" spans="1:17">
      <c r="A1" s="28" t="s">
        <v>0</v>
      </c>
      <c r="B1" s="17"/>
      <c r="C1" s="17"/>
      <c r="D1" s="17"/>
      <c r="E1" s="17"/>
      <c r="F1" s="17"/>
      <c r="G1" s="17"/>
      <c r="H1" s="17"/>
      <c r="I1" s="17"/>
      <c r="J1" s="17"/>
      <c r="K1" s="17"/>
      <c r="L1" s="17"/>
      <c r="M1" s="17"/>
      <c r="N1" s="17"/>
      <c r="O1" s="17"/>
      <c r="P1" s="17"/>
      <c r="Q1" s="18"/>
    </row>
    <row r="2" spans="1:17">
      <c r="A2" s="23"/>
      <c r="B2" s="1" t="s">
        <v>96</v>
      </c>
      <c r="Q2" s="20"/>
    </row>
    <row r="3" spans="1:17">
      <c r="A3" s="23"/>
      <c r="Q3" s="20"/>
    </row>
    <row r="4" spans="1:17">
      <c r="A4" s="23"/>
      <c r="C4" s="1" t="s">
        <v>9</v>
      </c>
      <c r="D4" s="1" t="s">
        <v>97</v>
      </c>
      <c r="Q4" s="20"/>
    </row>
    <row r="5" spans="1:17">
      <c r="A5" s="23"/>
      <c r="Q5" s="20"/>
    </row>
    <row r="6" spans="1:17">
      <c r="A6" s="23"/>
      <c r="B6" s="129"/>
      <c r="C6" s="1" t="s">
        <v>10</v>
      </c>
      <c r="D6" s="1" t="s">
        <v>98</v>
      </c>
      <c r="Q6" s="20"/>
    </row>
    <row r="7" spans="1:17">
      <c r="A7" s="23"/>
      <c r="B7" s="129"/>
      <c r="Q7" s="20"/>
    </row>
    <row r="8" spans="1:17">
      <c r="A8" s="23"/>
      <c r="B8" s="129"/>
      <c r="C8" s="1" t="s">
        <v>11</v>
      </c>
      <c r="D8" s="1" t="s">
        <v>99</v>
      </c>
      <c r="Q8" s="20"/>
    </row>
    <row r="9" spans="1:17">
      <c r="A9" s="23"/>
      <c r="B9" s="129"/>
      <c r="Q9" s="20"/>
    </row>
    <row r="10" spans="1:17">
      <c r="A10" s="23"/>
      <c r="B10" s="129"/>
      <c r="C10" s="1" t="s">
        <v>12</v>
      </c>
      <c r="D10" s="1" t="s">
        <v>100</v>
      </c>
      <c r="Q10" s="20"/>
    </row>
    <row r="11" spans="1:17">
      <c r="A11" s="23"/>
      <c r="B11" s="129"/>
      <c r="Q11" s="20"/>
    </row>
    <row r="12" spans="1:17">
      <c r="A12" s="23"/>
      <c r="B12" s="129"/>
      <c r="C12" s="1" t="s">
        <v>101</v>
      </c>
      <c r="D12" s="1" t="s">
        <v>102</v>
      </c>
      <c r="Q12" s="20"/>
    </row>
    <row r="13" spans="1:17" ht="15" thickBot="1">
      <c r="A13" s="25"/>
      <c r="B13" s="394"/>
      <c r="C13" s="26"/>
      <c r="D13" s="26"/>
      <c r="E13" s="26"/>
      <c r="F13" s="26"/>
      <c r="G13" s="26"/>
      <c r="H13" s="26"/>
      <c r="I13" s="26"/>
      <c r="J13" s="26"/>
      <c r="K13" s="26"/>
      <c r="L13" s="26"/>
      <c r="M13" s="26"/>
      <c r="N13" s="26"/>
      <c r="O13" s="26"/>
      <c r="P13" s="26"/>
      <c r="Q13" s="27"/>
    </row>
    <row r="22" spans="1:10">
      <c r="A22" s="22"/>
      <c r="B22" s="22"/>
      <c r="C22" s="22"/>
      <c r="D22" s="22"/>
      <c r="E22" s="22"/>
      <c r="F22" s="22"/>
      <c r="G22" s="22"/>
      <c r="H22" s="22"/>
      <c r="I22" s="22"/>
      <c r="J22" s="22"/>
    </row>
    <row r="23" spans="1:10">
      <c r="A23" s="22"/>
    </row>
    <row r="24" spans="1:10">
      <c r="A24" s="22"/>
    </row>
    <row r="25" spans="1:10">
      <c r="A25" s="22"/>
    </row>
    <row r="38" spans="1:1">
      <c r="A38" s="130"/>
    </row>
    <row r="39" spans="1:1">
      <c r="A39" s="59"/>
    </row>
    <row r="40" spans="1:1">
      <c r="A40" s="59"/>
    </row>
    <row r="41" spans="1:1">
      <c r="A41" s="130"/>
    </row>
    <row r="42" spans="1:1">
      <c r="A42" s="131"/>
    </row>
    <row r="43" spans="1:1">
      <c r="A43" s="59"/>
    </row>
    <row r="44" spans="1:1">
      <c r="A44" s="59"/>
    </row>
    <row r="45" spans="1:1">
      <c r="A45" s="131"/>
    </row>
    <row r="46" spans="1:1">
      <c r="A46" s="59"/>
    </row>
    <row r="47" spans="1:1">
      <c r="A47" s="59"/>
    </row>
    <row r="48" spans="1:1">
      <c r="A48" s="131"/>
    </row>
    <row r="49" spans="1:1">
      <c r="A49" s="59"/>
    </row>
    <row r="50" spans="1:1">
      <c r="A50" s="59"/>
    </row>
    <row r="51" spans="1:1">
      <c r="A51" s="131"/>
    </row>
    <row r="52" spans="1:1">
      <c r="A52" s="59"/>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DB23-D416-499B-BB93-3E89788030AD}">
  <dimension ref="A1:O39"/>
  <sheetViews>
    <sheetView zoomScale="90" zoomScaleNormal="90" workbookViewId="0"/>
  </sheetViews>
  <sheetFormatPr defaultColWidth="8.7265625" defaultRowHeight="14.5"/>
  <cols>
    <col min="1" max="1" width="21.26953125" style="1" customWidth="1"/>
    <col min="2" max="5" width="15.453125" style="1" customWidth="1"/>
    <col min="6" max="6" width="8.7265625" style="1"/>
    <col min="7" max="7" width="4.453125" style="1" customWidth="1"/>
    <col min="8" max="10" width="8.7265625" style="1"/>
    <col min="11" max="59" width="10.7265625" style="1" customWidth="1"/>
    <col min="60" max="16384" width="8.7265625" style="1"/>
  </cols>
  <sheetData>
    <row r="1" spans="1:15">
      <c r="A1" s="15" t="s">
        <v>13</v>
      </c>
      <c r="B1" s="17"/>
      <c r="C1" s="17"/>
      <c r="D1" s="17"/>
      <c r="E1" s="17"/>
      <c r="F1" s="18"/>
      <c r="H1" s="2" t="s">
        <v>14</v>
      </c>
      <c r="I1" s="3"/>
      <c r="J1" s="17"/>
      <c r="K1" s="17"/>
      <c r="L1" s="17"/>
      <c r="M1" s="17"/>
      <c r="N1" s="17"/>
      <c r="O1" s="18"/>
    </row>
    <row r="2" spans="1:15" ht="14.65" customHeight="1">
      <c r="A2" s="19" t="s">
        <v>103</v>
      </c>
      <c r="B2" s="22"/>
      <c r="C2" s="22"/>
      <c r="D2" s="22"/>
      <c r="E2" s="22"/>
      <c r="F2" s="20"/>
      <c r="H2" s="5"/>
      <c r="I2" s="507" t="s">
        <v>104</v>
      </c>
      <c r="J2" s="507"/>
      <c r="K2" s="507"/>
      <c r="L2" s="507"/>
      <c r="M2" s="507"/>
      <c r="N2" s="507"/>
      <c r="O2" s="508"/>
    </row>
    <row r="3" spans="1:15">
      <c r="A3" s="19" t="s">
        <v>105</v>
      </c>
      <c r="B3" s="22"/>
      <c r="C3" s="22"/>
      <c r="D3" s="22"/>
      <c r="E3" s="22"/>
      <c r="F3" s="20"/>
      <c r="H3" s="23"/>
      <c r="I3" s="507"/>
      <c r="J3" s="507"/>
      <c r="K3" s="507"/>
      <c r="L3" s="507"/>
      <c r="M3" s="507"/>
      <c r="N3" s="507"/>
      <c r="O3" s="508"/>
    </row>
    <row r="4" spans="1:15">
      <c r="A4" s="21"/>
      <c r="F4" s="20"/>
      <c r="H4" s="23"/>
      <c r="I4" s="29" t="s">
        <v>106</v>
      </c>
      <c r="J4" s="519" t="s">
        <v>107</v>
      </c>
      <c r="K4" s="520"/>
      <c r="L4" s="520"/>
      <c r="M4" s="521"/>
      <c r="O4" s="20"/>
    </row>
    <row r="5" spans="1:15">
      <c r="A5" s="21" t="s">
        <v>108</v>
      </c>
      <c r="F5" s="20"/>
      <c r="H5" s="23"/>
      <c r="I5" s="30" t="s">
        <v>109</v>
      </c>
      <c r="J5" s="31">
        <v>12</v>
      </c>
      <c r="K5" s="31">
        <v>24</v>
      </c>
      <c r="L5" s="31">
        <v>36</v>
      </c>
      <c r="M5" s="31">
        <v>48</v>
      </c>
      <c r="O5" s="20"/>
    </row>
    <row r="6" spans="1:15">
      <c r="A6" s="21" t="s">
        <v>23</v>
      </c>
      <c r="F6" s="20"/>
      <c r="H6" s="23"/>
      <c r="I6" s="32">
        <v>2020</v>
      </c>
      <c r="J6" s="33">
        <v>28199.25</v>
      </c>
      <c r="K6" s="33">
        <v>36042.75</v>
      </c>
      <c r="L6" s="33">
        <v>39165.21</v>
      </c>
      <c r="M6" s="33">
        <v>39891.891600000003</v>
      </c>
      <c r="O6" s="20"/>
    </row>
    <row r="7" spans="1:15">
      <c r="A7" s="23"/>
      <c r="F7" s="20"/>
      <c r="H7" s="23"/>
      <c r="I7" s="32">
        <v>2021</v>
      </c>
      <c r="J7" s="33">
        <v>28703.016</v>
      </c>
      <c r="K7" s="33">
        <v>37310.153999999995</v>
      </c>
      <c r="L7" s="33">
        <v>40497.996839999993</v>
      </c>
      <c r="M7" s="33"/>
      <c r="O7" s="20"/>
    </row>
    <row r="8" spans="1:15">
      <c r="A8" s="23" t="s">
        <v>76</v>
      </c>
      <c r="F8" s="20"/>
      <c r="H8" s="23"/>
      <c r="I8" s="32">
        <v>2022</v>
      </c>
      <c r="J8" s="33">
        <v>29438.730000000003</v>
      </c>
      <c r="K8" s="33">
        <v>37096.648000000001</v>
      </c>
      <c r="L8" s="33"/>
      <c r="M8" s="33"/>
      <c r="O8" s="20"/>
    </row>
    <row r="9" spans="1:15">
      <c r="A9" s="23"/>
      <c r="F9" s="20"/>
      <c r="H9" s="23"/>
      <c r="I9" s="32">
        <v>2023</v>
      </c>
      <c r="J9" s="33">
        <v>29665.463</v>
      </c>
      <c r="K9" s="33"/>
      <c r="L9" s="33"/>
      <c r="M9" s="33"/>
      <c r="O9" s="20"/>
    </row>
    <row r="10" spans="1:15">
      <c r="A10" s="37" t="s">
        <v>106</v>
      </c>
      <c r="B10" s="519" t="s">
        <v>107</v>
      </c>
      <c r="C10" s="520"/>
      <c r="D10" s="520"/>
      <c r="E10" s="521"/>
      <c r="F10" s="20"/>
      <c r="H10" s="23"/>
      <c r="I10" s="46"/>
      <c r="J10" s="41"/>
      <c r="K10" s="41"/>
      <c r="L10" s="41"/>
      <c r="M10" s="34"/>
      <c r="O10" s="20"/>
    </row>
    <row r="11" spans="1:15">
      <c r="A11" s="38" t="s">
        <v>109</v>
      </c>
      <c r="B11" s="31">
        <v>12</v>
      </c>
      <c r="C11" s="31">
        <v>24</v>
      </c>
      <c r="D11" s="31">
        <v>36</v>
      </c>
      <c r="E11" s="31">
        <v>48</v>
      </c>
      <c r="F11" s="20"/>
      <c r="H11" s="23"/>
      <c r="I11" s="29" t="s">
        <v>106</v>
      </c>
      <c r="J11" s="519" t="s">
        <v>110</v>
      </c>
      <c r="K11" s="520"/>
      <c r="L11" s="520"/>
      <c r="M11" s="521"/>
      <c r="O11" s="20"/>
    </row>
    <row r="12" spans="1:15">
      <c r="A12" s="39">
        <v>2020</v>
      </c>
      <c r="B12" s="33">
        <v>28199.25</v>
      </c>
      <c r="C12" s="33">
        <v>36042.75</v>
      </c>
      <c r="D12" s="33">
        <v>39165.21</v>
      </c>
      <c r="E12" s="33">
        <v>39891.891600000003</v>
      </c>
      <c r="F12" s="20"/>
      <c r="H12" s="23"/>
      <c r="I12" s="30" t="s">
        <v>109</v>
      </c>
      <c r="J12" s="31">
        <v>12</v>
      </c>
      <c r="K12" s="31">
        <v>24</v>
      </c>
      <c r="L12" s="31">
        <v>36</v>
      </c>
      <c r="M12" s="31">
        <v>48</v>
      </c>
      <c r="O12" s="20"/>
    </row>
    <row r="13" spans="1:15">
      <c r="A13" s="39">
        <v>2021</v>
      </c>
      <c r="B13" s="33">
        <v>28703.016</v>
      </c>
      <c r="C13" s="33">
        <v>37310.153999999995</v>
      </c>
      <c r="D13" s="33">
        <v>40497.996839999993</v>
      </c>
      <c r="E13" s="33"/>
      <c r="F13" s="20"/>
      <c r="H13" s="23"/>
      <c r="I13" s="32">
        <v>2020</v>
      </c>
      <c r="J13" s="33">
        <v>9524.25</v>
      </c>
      <c r="K13" s="33">
        <v>21849.75</v>
      </c>
      <c r="L13" s="33">
        <v>30081.69</v>
      </c>
      <c r="M13" s="33">
        <v>34441.779600000002</v>
      </c>
      <c r="O13" s="20"/>
    </row>
    <row r="14" spans="1:15">
      <c r="A14" s="39">
        <v>2022</v>
      </c>
      <c r="B14" s="33">
        <v>29438.730000000003</v>
      </c>
      <c r="C14" s="33">
        <v>37096.648000000001</v>
      </c>
      <c r="D14" s="33"/>
      <c r="E14" s="33"/>
      <c r="F14" s="20"/>
      <c r="H14" s="23"/>
      <c r="I14" s="32">
        <v>2021</v>
      </c>
      <c r="J14" s="33">
        <v>9869.0159999999996</v>
      </c>
      <c r="K14" s="33">
        <v>22619.633999999998</v>
      </c>
      <c r="L14" s="33">
        <v>30949.158839999996</v>
      </c>
      <c r="M14" s="33"/>
      <c r="O14" s="20"/>
    </row>
    <row r="15" spans="1:15">
      <c r="A15" s="39">
        <v>2023</v>
      </c>
      <c r="B15" s="33">
        <v>29665.463</v>
      </c>
      <c r="C15" s="33"/>
      <c r="D15" s="33"/>
      <c r="E15" s="33"/>
      <c r="F15" s="20"/>
      <c r="H15" s="23"/>
      <c r="I15" s="32">
        <v>2022</v>
      </c>
      <c r="J15" s="33">
        <v>10197.730000000001</v>
      </c>
      <c r="K15" s="33">
        <v>22858.308000000005</v>
      </c>
      <c r="L15" s="33"/>
      <c r="M15" s="33"/>
      <c r="O15" s="20"/>
    </row>
    <row r="16" spans="1:15">
      <c r="A16" s="40"/>
      <c r="B16" s="41"/>
      <c r="C16" s="41"/>
      <c r="D16" s="41"/>
      <c r="E16" s="34"/>
      <c r="F16" s="20"/>
      <c r="H16" s="23"/>
      <c r="I16" s="134">
        <v>2023</v>
      </c>
      <c r="J16" s="35">
        <v>10032.463</v>
      </c>
      <c r="K16" s="35"/>
      <c r="L16" s="460"/>
      <c r="M16" s="35"/>
      <c r="O16" s="20"/>
    </row>
    <row r="17" spans="1:15">
      <c r="A17" s="37" t="s">
        <v>106</v>
      </c>
      <c r="B17" s="519" t="s">
        <v>110</v>
      </c>
      <c r="C17" s="520"/>
      <c r="D17" s="520"/>
      <c r="E17" s="521"/>
      <c r="F17" s="20"/>
      <c r="H17" s="132" t="s">
        <v>111</v>
      </c>
      <c r="I17" s="17"/>
      <c r="J17" s="133"/>
      <c r="K17" s="133"/>
      <c r="M17" s="17"/>
      <c r="N17" s="17"/>
      <c r="O17" s="43"/>
    </row>
    <row r="18" spans="1:15">
      <c r="A18" s="38" t="s">
        <v>109</v>
      </c>
      <c r="B18" s="31">
        <v>12</v>
      </c>
      <c r="C18" s="31">
        <v>24</v>
      </c>
      <c r="D18" s="31">
        <v>36</v>
      </c>
      <c r="E18" s="31">
        <v>48</v>
      </c>
      <c r="F18" s="20"/>
      <c r="H18" s="44" t="s">
        <v>112</v>
      </c>
      <c r="I18" s="26"/>
      <c r="J18" s="45"/>
      <c r="K18" s="45"/>
      <c r="L18" s="26"/>
      <c r="M18" s="26"/>
      <c r="N18" s="26"/>
      <c r="O18" s="27"/>
    </row>
    <row r="19" spans="1:15">
      <c r="A19" s="39">
        <v>2020</v>
      </c>
      <c r="B19" s="33">
        <v>9524.25</v>
      </c>
      <c r="C19" s="33">
        <v>21849.75</v>
      </c>
      <c r="D19" s="33">
        <v>30081.69</v>
      </c>
      <c r="E19" s="33">
        <v>34441.779600000002</v>
      </c>
      <c r="F19" s="20"/>
    </row>
    <row r="20" spans="1:15">
      <c r="A20" s="39">
        <v>2021</v>
      </c>
      <c r="B20" s="33">
        <v>9869.0159999999996</v>
      </c>
      <c r="C20" s="33">
        <v>22619.633999999998</v>
      </c>
      <c r="D20" s="33">
        <v>30949.158839999996</v>
      </c>
      <c r="E20" s="33"/>
      <c r="F20" s="42"/>
      <c r="G20" s="22"/>
      <c r="H20" s="22"/>
      <c r="I20" s="22"/>
      <c r="J20" s="22"/>
    </row>
    <row r="21" spans="1:15">
      <c r="A21" s="39">
        <v>2022</v>
      </c>
      <c r="B21" s="33">
        <v>10197.730000000001</v>
      </c>
      <c r="C21" s="33">
        <v>22858.308000000005</v>
      </c>
      <c r="D21" s="33"/>
      <c r="E21" s="33"/>
      <c r="F21" s="20"/>
    </row>
    <row r="22" spans="1:15">
      <c r="A22" s="39">
        <v>2023</v>
      </c>
      <c r="B22" s="33">
        <v>10032.463</v>
      </c>
      <c r="C22" s="33"/>
      <c r="D22" s="33"/>
      <c r="E22" s="33"/>
      <c r="F22" s="20"/>
    </row>
    <row r="23" spans="1:15">
      <c r="A23" s="23"/>
      <c r="F23" s="20"/>
    </row>
    <row r="24" spans="1:15">
      <c r="A24" s="23" t="s">
        <v>113</v>
      </c>
      <c r="F24" s="20"/>
    </row>
    <row r="25" spans="1:15" ht="30.75" customHeight="1">
      <c r="A25" s="506" t="s">
        <v>104</v>
      </c>
      <c r="B25" s="507"/>
      <c r="C25" s="507"/>
      <c r="D25" s="507"/>
      <c r="E25" s="507"/>
      <c r="F25" s="20"/>
    </row>
    <row r="26" spans="1:15">
      <c r="A26" s="23"/>
      <c r="F26" s="20"/>
    </row>
    <row r="27" spans="1:15">
      <c r="A27" s="23" t="s">
        <v>114</v>
      </c>
      <c r="F27" s="20"/>
    </row>
    <row r="28" spans="1:15" ht="28.5" customHeight="1">
      <c r="A28" s="506" t="s">
        <v>115</v>
      </c>
      <c r="B28" s="507"/>
      <c r="C28" s="507"/>
      <c r="D28" s="507"/>
      <c r="E28" s="507"/>
      <c r="F28" s="20"/>
    </row>
    <row r="29" spans="1:15" ht="15" thickBot="1">
      <c r="A29" s="25"/>
      <c r="B29" s="26"/>
      <c r="C29" s="26"/>
      <c r="D29" s="26"/>
      <c r="E29" s="26"/>
      <c r="F29" s="27"/>
    </row>
    <row r="37" spans="1:1">
      <c r="A37" s="57"/>
    </row>
    <row r="38" spans="1:1">
      <c r="A38" s="57"/>
    </row>
    <row r="39" spans="1:1">
      <c r="A39" s="57"/>
    </row>
  </sheetData>
  <mergeCells count="7">
    <mergeCell ref="A28:E28"/>
    <mergeCell ref="J4:M4"/>
    <mergeCell ref="J11:M11"/>
    <mergeCell ref="I2:O3"/>
    <mergeCell ref="B17:E17"/>
    <mergeCell ref="B10:E10"/>
    <mergeCell ref="A25:E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1D9BC-B1D2-4666-A50A-894B6462FB67}">
  <dimension ref="A1:M42"/>
  <sheetViews>
    <sheetView zoomScale="90" zoomScaleNormal="90" workbookViewId="0"/>
  </sheetViews>
  <sheetFormatPr defaultColWidth="8.7265625" defaultRowHeight="14.5"/>
  <cols>
    <col min="1" max="1" width="20.54296875" style="1" customWidth="1"/>
    <col min="2" max="6" width="15.7265625" style="1" customWidth="1"/>
    <col min="7" max="7" width="4.453125" style="1" customWidth="1"/>
    <col min="8" max="10" width="8.7265625" style="1"/>
    <col min="11" max="59" width="10.7265625" style="1" customWidth="1"/>
    <col min="60" max="16384" width="8.7265625" style="1"/>
  </cols>
  <sheetData>
    <row r="1" spans="1:13">
      <c r="A1" s="15" t="s">
        <v>13</v>
      </c>
      <c r="B1" s="17"/>
      <c r="C1" s="17"/>
      <c r="D1" s="17"/>
      <c r="E1" s="17"/>
      <c r="F1" s="18"/>
      <c r="H1" s="28" t="s">
        <v>38</v>
      </c>
      <c r="I1" s="17"/>
      <c r="J1" s="17"/>
      <c r="K1" s="17"/>
      <c r="L1" s="17"/>
      <c r="M1" s="18"/>
    </row>
    <row r="2" spans="1:13">
      <c r="A2" s="19" t="s">
        <v>103</v>
      </c>
      <c r="B2" s="22"/>
      <c r="C2" s="22"/>
      <c r="D2" s="22"/>
      <c r="E2" s="22"/>
      <c r="F2" s="20"/>
      <c r="H2" s="23"/>
      <c r="M2" s="20"/>
    </row>
    <row r="3" spans="1:13" ht="14.65" customHeight="1">
      <c r="A3" s="19" t="s">
        <v>105</v>
      </c>
      <c r="B3" s="22"/>
      <c r="C3" s="22"/>
      <c r="D3" s="22"/>
      <c r="E3" s="22"/>
      <c r="F3" s="20"/>
      <c r="H3" s="23"/>
      <c r="I3" s="507" t="s">
        <v>116</v>
      </c>
      <c r="J3" s="507"/>
      <c r="K3" s="507"/>
      <c r="L3" s="507"/>
      <c r="M3" s="508"/>
    </row>
    <row r="4" spans="1:13">
      <c r="A4" s="21"/>
      <c r="F4" s="20"/>
      <c r="H4" s="23"/>
      <c r="I4" s="507"/>
      <c r="J4" s="507"/>
      <c r="K4" s="507"/>
      <c r="L4" s="507"/>
      <c r="M4" s="508"/>
    </row>
    <row r="5" spans="1:13" ht="15" thickBot="1">
      <c r="A5" s="21" t="s">
        <v>108</v>
      </c>
      <c r="F5" s="20"/>
      <c r="H5" s="25"/>
      <c r="I5" s="26"/>
      <c r="J5" s="26"/>
      <c r="K5" s="26"/>
      <c r="L5" s="26"/>
      <c r="M5" s="27"/>
    </row>
    <row r="6" spans="1:13">
      <c r="A6" s="21" t="s">
        <v>23</v>
      </c>
      <c r="F6" s="20"/>
    </row>
    <row r="7" spans="1:13">
      <c r="A7" s="23"/>
      <c r="F7" s="20"/>
    </row>
    <row r="8" spans="1:13">
      <c r="A8" s="23" t="s">
        <v>76</v>
      </c>
      <c r="F8" s="20"/>
    </row>
    <row r="9" spans="1:13">
      <c r="A9" s="23"/>
      <c r="F9" s="20"/>
    </row>
    <row r="10" spans="1:13">
      <c r="A10" s="37" t="s">
        <v>106</v>
      </c>
      <c r="B10" s="519" t="s">
        <v>107</v>
      </c>
      <c r="C10" s="520"/>
      <c r="D10" s="520"/>
      <c r="E10" s="521"/>
      <c r="F10" s="20"/>
    </row>
    <row r="11" spans="1:13">
      <c r="A11" s="38" t="s">
        <v>109</v>
      </c>
      <c r="B11" s="31">
        <v>12</v>
      </c>
      <c r="C11" s="31">
        <v>24</v>
      </c>
      <c r="D11" s="31">
        <v>36</v>
      </c>
      <c r="E11" s="31">
        <v>48</v>
      </c>
      <c r="F11" s="20"/>
    </row>
    <row r="12" spans="1:13">
      <c r="A12" s="39">
        <v>2020</v>
      </c>
      <c r="B12" s="33">
        <v>28199.25</v>
      </c>
      <c r="C12" s="33">
        <v>36042.75</v>
      </c>
      <c r="D12" s="33">
        <v>39165.21</v>
      </c>
      <c r="E12" s="33">
        <v>39891.891600000003</v>
      </c>
      <c r="F12" s="20"/>
    </row>
    <row r="13" spans="1:13">
      <c r="A13" s="39">
        <v>2021</v>
      </c>
      <c r="B13" s="33">
        <v>28703.016</v>
      </c>
      <c r="C13" s="33">
        <v>37310.153999999995</v>
      </c>
      <c r="D13" s="33">
        <v>40497.996839999993</v>
      </c>
      <c r="E13" s="33"/>
      <c r="F13" s="20"/>
    </row>
    <row r="14" spans="1:13">
      <c r="A14" s="39">
        <v>2022</v>
      </c>
      <c r="B14" s="33">
        <v>29438.730000000003</v>
      </c>
      <c r="C14" s="33">
        <v>37096.648000000001</v>
      </c>
      <c r="D14" s="33"/>
      <c r="E14" s="33"/>
      <c r="F14" s="20"/>
    </row>
    <row r="15" spans="1:13">
      <c r="A15" s="39">
        <v>2023</v>
      </c>
      <c r="B15" s="33">
        <v>29665.463</v>
      </c>
      <c r="C15" s="33"/>
      <c r="D15" s="33"/>
      <c r="E15" s="33"/>
      <c r="F15" s="20"/>
    </row>
    <row r="16" spans="1:13">
      <c r="A16" s="40"/>
      <c r="B16" s="41"/>
      <c r="C16" s="41"/>
      <c r="D16" s="41"/>
      <c r="E16" s="34"/>
      <c r="F16" s="20"/>
    </row>
    <row r="17" spans="1:10">
      <c r="A17" s="37" t="s">
        <v>106</v>
      </c>
      <c r="B17" s="519" t="s">
        <v>110</v>
      </c>
      <c r="C17" s="520"/>
      <c r="D17" s="520"/>
      <c r="E17" s="521"/>
      <c r="F17" s="20"/>
    </row>
    <row r="18" spans="1:10">
      <c r="A18" s="38" t="s">
        <v>109</v>
      </c>
      <c r="B18" s="31">
        <v>12</v>
      </c>
      <c r="C18" s="31">
        <v>24</v>
      </c>
      <c r="D18" s="31">
        <v>36</v>
      </c>
      <c r="E18" s="31">
        <v>48</v>
      </c>
      <c r="F18" s="20"/>
    </row>
    <row r="19" spans="1:10">
      <c r="A19" s="39">
        <v>2020</v>
      </c>
      <c r="B19" s="33">
        <v>9524.25</v>
      </c>
      <c r="C19" s="33">
        <v>21849.75</v>
      </c>
      <c r="D19" s="33">
        <v>30081.69</v>
      </c>
      <c r="E19" s="33">
        <v>34441.779600000002</v>
      </c>
      <c r="F19" s="20"/>
    </row>
    <row r="20" spans="1:10">
      <c r="A20" s="39">
        <v>2021</v>
      </c>
      <c r="B20" s="33">
        <v>9869.0159999999996</v>
      </c>
      <c r="C20" s="33">
        <v>22619.633999999998</v>
      </c>
      <c r="D20" s="33">
        <v>30949.158839999996</v>
      </c>
      <c r="E20" s="33"/>
      <c r="F20" s="42"/>
      <c r="G20" s="22"/>
      <c r="H20" s="22"/>
      <c r="I20" s="22"/>
      <c r="J20" s="22"/>
    </row>
    <row r="21" spans="1:10">
      <c r="A21" s="39">
        <v>2022</v>
      </c>
      <c r="B21" s="33">
        <v>10197.730000000001</v>
      </c>
      <c r="C21" s="33">
        <v>22858.308000000005</v>
      </c>
      <c r="D21" s="33"/>
      <c r="E21" s="33"/>
      <c r="F21" s="20"/>
    </row>
    <row r="22" spans="1:10">
      <c r="A22" s="39">
        <v>2023</v>
      </c>
      <c r="B22" s="33">
        <v>10032.463</v>
      </c>
      <c r="C22" s="33"/>
      <c r="D22" s="33"/>
      <c r="E22" s="33"/>
      <c r="F22" s="20"/>
    </row>
    <row r="23" spans="1:10">
      <c r="A23" s="23"/>
      <c r="F23" s="20"/>
    </row>
    <row r="24" spans="1:10">
      <c r="A24" s="23" t="s">
        <v>113</v>
      </c>
      <c r="F24" s="20"/>
    </row>
    <row r="25" spans="1:10" ht="32.25" customHeight="1">
      <c r="A25" s="506" t="s">
        <v>104</v>
      </c>
      <c r="B25" s="507"/>
      <c r="C25" s="507"/>
      <c r="D25" s="507"/>
      <c r="E25" s="507"/>
      <c r="F25" s="20"/>
      <c r="G25" s="1" t="s">
        <v>117</v>
      </c>
    </row>
    <row r="26" spans="1:10">
      <c r="A26" s="23"/>
      <c r="F26" s="20"/>
    </row>
    <row r="27" spans="1:10">
      <c r="A27" s="23" t="s">
        <v>114</v>
      </c>
      <c r="F27" s="20"/>
    </row>
    <row r="28" spans="1:10" ht="30" customHeight="1">
      <c r="A28" s="506" t="s">
        <v>115</v>
      </c>
      <c r="B28" s="507"/>
      <c r="C28" s="507"/>
      <c r="D28" s="507"/>
      <c r="E28" s="507"/>
      <c r="F28" s="20"/>
      <c r="G28" s="1" t="s">
        <v>117</v>
      </c>
    </row>
    <row r="29" spans="1:10" ht="15" thickBot="1">
      <c r="A29" s="25"/>
      <c r="B29" s="26"/>
      <c r="C29" s="26"/>
      <c r="D29" s="26"/>
      <c r="E29" s="26"/>
      <c r="F29" s="27"/>
    </row>
    <row r="37" spans="1:5">
      <c r="A37" s="57"/>
      <c r="E37" s="61"/>
    </row>
    <row r="38" spans="1:5">
      <c r="A38" s="57"/>
    </row>
    <row r="39" spans="1:5">
      <c r="A39" s="57"/>
      <c r="C39" s="59"/>
    </row>
    <row r="40" spans="1:5">
      <c r="C40" s="59"/>
    </row>
    <row r="42" spans="1:5">
      <c r="C42" s="61"/>
    </row>
  </sheetData>
  <mergeCells count="5">
    <mergeCell ref="A25:E25"/>
    <mergeCell ref="A28:E28"/>
    <mergeCell ref="I3:M4"/>
    <mergeCell ref="B10:E10"/>
    <mergeCell ref="B17:E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823A2-9A87-4ACE-92DC-DEE8C2C706A2}">
  <dimension ref="A1:K44"/>
  <sheetViews>
    <sheetView zoomScale="90" zoomScaleNormal="90" workbookViewId="0"/>
  </sheetViews>
  <sheetFormatPr defaultColWidth="8.7265625" defaultRowHeight="14.5"/>
  <cols>
    <col min="1" max="1" width="8.26953125" style="1" customWidth="1"/>
    <col min="2" max="4" width="8.7265625" style="1"/>
    <col min="5" max="5" width="10.453125" style="1" customWidth="1"/>
    <col min="6" max="6" width="8.7265625" style="1"/>
    <col min="7" max="7" width="11" style="1" customWidth="1"/>
    <col min="8" max="10" width="8.7265625" style="1"/>
    <col min="11" max="11" width="5.453125" style="1" customWidth="1"/>
    <col min="12" max="59" width="10.7265625" style="1" customWidth="1"/>
    <col min="60" max="16384" width="8.7265625" style="1"/>
  </cols>
  <sheetData>
    <row r="1" spans="1:11">
      <c r="A1" s="28" t="s">
        <v>0</v>
      </c>
      <c r="B1" s="17"/>
      <c r="C1" s="17"/>
      <c r="D1" s="17"/>
      <c r="E1" s="17"/>
      <c r="F1" s="17"/>
      <c r="G1" s="17"/>
      <c r="H1" s="17"/>
      <c r="I1" s="17"/>
      <c r="J1" s="17"/>
      <c r="K1" s="18"/>
    </row>
    <row r="2" spans="1:11">
      <c r="A2" s="23"/>
      <c r="B2" s="1" t="s">
        <v>118</v>
      </c>
      <c r="K2" s="20"/>
    </row>
    <row r="3" spans="1:11">
      <c r="A3" s="23"/>
      <c r="K3" s="20"/>
    </row>
    <row r="4" spans="1:11" ht="43.5">
      <c r="A4" s="23"/>
      <c r="B4" s="391" t="s">
        <v>44</v>
      </c>
      <c r="C4" s="391" t="s">
        <v>119</v>
      </c>
      <c r="D4" s="391" t="s">
        <v>120</v>
      </c>
      <c r="E4" s="391" t="s">
        <v>121</v>
      </c>
      <c r="F4" s="391" t="s">
        <v>122</v>
      </c>
      <c r="G4" s="391" t="s">
        <v>123</v>
      </c>
      <c r="K4" s="20"/>
    </row>
    <row r="5" spans="1:11">
      <c r="A5" s="23"/>
      <c r="B5" s="391">
        <v>2024</v>
      </c>
      <c r="C5" s="392">
        <v>2000</v>
      </c>
      <c r="D5" s="391">
        <v>800</v>
      </c>
      <c r="E5" s="393">
        <v>0.5</v>
      </c>
      <c r="F5" s="391">
        <v>800</v>
      </c>
      <c r="G5" s="393">
        <v>0.35</v>
      </c>
      <c r="K5" s="20"/>
    </row>
    <row r="6" spans="1:11">
      <c r="A6" s="23"/>
      <c r="K6" s="20"/>
    </row>
    <row r="7" spans="1:11">
      <c r="A7" s="23"/>
      <c r="B7" s="1" t="s">
        <v>124</v>
      </c>
      <c r="K7" s="20"/>
    </row>
    <row r="8" spans="1:11" ht="15.5">
      <c r="A8" s="23"/>
      <c r="B8" s="390"/>
      <c r="K8" s="20"/>
    </row>
    <row r="9" spans="1:11">
      <c r="A9" s="23"/>
      <c r="B9" s="1" t="s">
        <v>125</v>
      </c>
      <c r="K9" s="20"/>
    </row>
    <row r="10" spans="1:11">
      <c r="A10" s="23"/>
      <c r="K10" s="20"/>
    </row>
    <row r="11" spans="1:11">
      <c r="A11" s="23"/>
      <c r="K11" s="20"/>
    </row>
    <row r="12" spans="1:11">
      <c r="A12" s="23"/>
      <c r="K12" s="20"/>
    </row>
    <row r="13" spans="1:11">
      <c r="A13" s="23"/>
      <c r="K13" s="20"/>
    </row>
    <row r="14" spans="1:11">
      <c r="A14" s="23"/>
      <c r="K14" s="20"/>
    </row>
    <row r="15" spans="1:11">
      <c r="A15" s="23"/>
      <c r="K15" s="20"/>
    </row>
    <row r="16" spans="1:11">
      <c r="A16" s="23"/>
      <c r="K16" s="20"/>
    </row>
    <row r="17" spans="1:11">
      <c r="A17" s="23"/>
      <c r="K17" s="20"/>
    </row>
    <row r="18" spans="1:11">
      <c r="A18" s="23"/>
      <c r="K18" s="20"/>
    </row>
    <row r="19" spans="1:11">
      <c r="A19" s="23"/>
      <c r="K19" s="20"/>
    </row>
    <row r="20" spans="1:11">
      <c r="A20" s="21"/>
      <c r="B20" s="22"/>
      <c r="C20" s="22"/>
      <c r="D20" s="22"/>
      <c r="E20" s="22"/>
      <c r="F20" s="22"/>
      <c r="G20" s="22"/>
      <c r="H20" s="22"/>
      <c r="I20" s="22"/>
      <c r="J20" s="22"/>
      <c r="K20" s="20"/>
    </row>
    <row r="21" spans="1:11">
      <c r="A21" s="21"/>
      <c r="K21" s="20"/>
    </row>
    <row r="22" spans="1:11">
      <c r="A22" s="21"/>
      <c r="K22" s="20"/>
    </row>
    <row r="23" spans="1:11">
      <c r="A23" s="21"/>
      <c r="K23" s="20"/>
    </row>
    <row r="24" spans="1:11">
      <c r="A24" s="23"/>
      <c r="K24" s="20"/>
    </row>
    <row r="25" spans="1:11">
      <c r="A25" s="23"/>
      <c r="K25" s="20"/>
    </row>
    <row r="26" spans="1:11">
      <c r="A26" s="23"/>
      <c r="K26" s="20"/>
    </row>
    <row r="27" spans="1:11">
      <c r="A27" s="23"/>
      <c r="K27" s="20"/>
    </row>
    <row r="28" spans="1:11">
      <c r="A28" s="23"/>
      <c r="K28" s="20"/>
    </row>
    <row r="29" spans="1:11">
      <c r="A29" s="23"/>
      <c r="K29" s="20"/>
    </row>
    <row r="30" spans="1:11">
      <c r="A30" s="23"/>
      <c r="K30" s="20"/>
    </row>
    <row r="31" spans="1:11" ht="15" thickBot="1">
      <c r="A31" s="25"/>
      <c r="B31" s="26"/>
      <c r="C31" s="26"/>
      <c r="D31" s="26"/>
      <c r="E31" s="26"/>
      <c r="F31" s="26"/>
      <c r="G31" s="26"/>
      <c r="H31" s="26"/>
      <c r="I31" s="26"/>
      <c r="J31" s="26"/>
      <c r="K31" s="27"/>
    </row>
    <row r="35" spans="1:6" ht="15.5">
      <c r="A35" s="13"/>
      <c r="B35"/>
      <c r="C35"/>
      <c r="D35"/>
      <c r="F35"/>
    </row>
    <row r="36" spans="1:6" ht="15.5">
      <c r="A36" s="14"/>
      <c r="B36"/>
      <c r="C36"/>
      <c r="D36"/>
      <c r="E36"/>
      <c r="F36"/>
    </row>
    <row r="37" spans="1:6" ht="15.5">
      <c r="A37" s="390"/>
      <c r="B37"/>
      <c r="C37"/>
      <c r="D37"/>
      <c r="E37"/>
      <c r="F37"/>
    </row>
    <row r="38" spans="1:6" ht="15.5">
      <c r="A38" s="14"/>
      <c r="B38"/>
      <c r="C38"/>
      <c r="D38"/>
      <c r="E38"/>
      <c r="F38"/>
    </row>
    <row r="41" spans="1:6" ht="15.5">
      <c r="A41" s="14"/>
      <c r="B41"/>
      <c r="C41"/>
      <c r="D41"/>
      <c r="E41"/>
      <c r="F41"/>
    </row>
    <row r="42" spans="1:6">
      <c r="B42"/>
      <c r="C42"/>
      <c r="D42"/>
      <c r="E42"/>
      <c r="F42"/>
    </row>
    <row r="43" spans="1:6">
      <c r="B43"/>
      <c r="C43"/>
      <c r="D43"/>
      <c r="E43"/>
      <c r="F43"/>
    </row>
    <row r="44" spans="1:6">
      <c r="B44"/>
      <c r="C44"/>
      <c r="D44"/>
      <c r="E44"/>
      <c r="F4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DADDEFE71DD142B65B2D39A7459C01" ma:contentTypeVersion="20" ma:contentTypeDescription="Create a new document." ma:contentTypeScope="" ma:versionID="ca751e9dc42e543aab0de7947fd36694">
  <xsd:schema xmlns:xsd="http://www.w3.org/2001/XMLSchema" xmlns:xs="http://www.w3.org/2001/XMLSchema" xmlns:p="http://schemas.microsoft.com/office/2006/metadata/properties" xmlns:ns1="http://schemas.microsoft.com/sharepoint/v3" xmlns:ns2="748ba270-da42-4433-a64c-2ee92fd2af94" xmlns:ns3="61697e46-2e47-4b79-bba2-c2e7c5999bda" targetNamespace="http://schemas.microsoft.com/office/2006/metadata/properties" ma:root="true" ma:fieldsID="152ffb01c1e57d7e8d9348f7b6b9efe3" ns1:_="" ns2:_="" ns3:_="">
    <xsd:import namespace="http://schemas.microsoft.com/sharepoint/v3"/>
    <xsd:import namespace="748ba270-da42-4433-a64c-2ee92fd2af94"/>
    <xsd:import namespace="61697e46-2e47-4b79-bba2-c2e7c5999b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8ba270-da42-4433-a64c-2ee92fd2af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560b896-8886-498a-a042-c3e26b9789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697e46-2e47-4b79-bba2-c2e7c5999b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a35cd87-3a86-4ada-9b6a-869b515d8894}" ma:internalName="TaxCatchAll" ma:showField="CatchAllData" ma:web="61697e46-2e47-4b79-bba2-c2e7c5999b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48ba270-da42-4433-a64c-2ee92fd2af94">
      <Terms xmlns="http://schemas.microsoft.com/office/infopath/2007/PartnerControls"/>
    </lcf76f155ced4ddcb4097134ff3c332f>
    <TaxCatchAll xmlns="61697e46-2e47-4b79-bba2-c2e7c5999bd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66BFD-F394-4E69-BE8E-CDE8A55166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48ba270-da42-4433-a64c-2ee92fd2af94"/>
    <ds:schemaRef ds:uri="61697e46-2e47-4b79-bba2-c2e7c5999b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E3FDD9-4771-4112-ABDD-4EF863B6E2BA}">
  <ds:schemaRefs>
    <ds:schemaRef ds:uri="http://schemas.microsoft.com/office/2006/metadata/properties"/>
    <ds:schemaRef ds:uri="http://schemas.microsoft.com/office/infopath/2007/PartnerControls"/>
    <ds:schemaRef ds:uri="http://schemas.microsoft.com/sharepoint/v3"/>
    <ds:schemaRef ds:uri="748ba270-da42-4433-a64c-2ee92fd2af94"/>
    <ds:schemaRef ds:uri="61697e46-2e47-4b79-bba2-c2e7c5999bda"/>
  </ds:schemaRefs>
</ds:datastoreItem>
</file>

<file path=customXml/itemProps3.xml><?xml version="1.0" encoding="utf-8"?>
<ds:datastoreItem xmlns:ds="http://schemas.openxmlformats.org/officeDocument/2006/customXml" ds:itemID="{0835D54A-D3FB-4363-B45B-0AE656AD34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Item 1</vt:lpstr>
      <vt:lpstr>Item 2</vt:lpstr>
      <vt:lpstr>Item 3</vt:lpstr>
      <vt:lpstr>Item 4</vt:lpstr>
      <vt:lpstr>Item 5</vt:lpstr>
      <vt:lpstr>Item 6</vt:lpstr>
      <vt:lpstr>Item 7</vt:lpstr>
      <vt:lpstr>Item 8</vt:lpstr>
      <vt:lpstr>Item 9</vt:lpstr>
      <vt:lpstr>Item 10</vt:lpstr>
      <vt:lpstr>Answer Item 1</vt:lpstr>
      <vt:lpstr>Answer Item 2</vt:lpstr>
      <vt:lpstr>Answer Item 3</vt:lpstr>
      <vt:lpstr>Answer Item 4</vt:lpstr>
      <vt:lpstr>Answer Item 5</vt:lpstr>
      <vt:lpstr>Answer Item 6</vt:lpstr>
      <vt:lpstr>Answer Item 7</vt:lpstr>
      <vt:lpstr>Answer Item 8</vt:lpstr>
      <vt:lpstr>Answer Item 9</vt:lpstr>
      <vt:lpstr>Answer Item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Dustin Larson</dc:creator>
  <cp:keywords/>
  <dc:description/>
  <cp:lastModifiedBy>Cecily Marx</cp:lastModifiedBy>
  <cp:revision/>
  <dcterms:created xsi:type="dcterms:W3CDTF">2025-05-06T18:11:38Z</dcterms:created>
  <dcterms:modified xsi:type="dcterms:W3CDTF">2025-09-23T18:31:12Z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0x010100D9DADDEFE71DD142B65B2D39A7459C01</vt:lpwstr>
  </property>
  <property fmtid="{D5CDD505-2E9C-101B-9397-08002B2CF9AE}" pid="4" name="{A44787D4-0540-4523-9961-78E4036D8C6D}">
    <vt:lpwstr>{9127C5A9-3E7C-486E-9532-FBE31E23EC2D}</vt:lpwstr>
  </property>
</Properties>
</file>